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45" windowWidth="18720" windowHeight="8580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5" i="1" l="1"/>
  <c r="H121" i="1" l="1"/>
  <c r="B50" i="1"/>
  <c r="B55" i="1"/>
  <c r="B41" i="1"/>
  <c r="B8" i="1"/>
  <c r="B36" i="1"/>
  <c r="B16" i="1"/>
  <c r="B20" i="1"/>
  <c r="F98" i="1" l="1"/>
  <c r="G98" i="1" s="1"/>
  <c r="H98" i="1" s="1"/>
  <c r="E94" i="1"/>
  <c r="F94" i="1" s="1"/>
  <c r="G94" i="1" s="1"/>
  <c r="H94" i="1" s="1"/>
  <c r="E93" i="1"/>
  <c r="F93" i="1" s="1"/>
  <c r="G93" i="1" s="1"/>
  <c r="H93" i="1" s="1"/>
  <c r="D83" i="1"/>
  <c r="F69" i="1"/>
  <c r="G69" i="1" s="1"/>
  <c r="H69" i="1" s="1"/>
  <c r="E65" i="1"/>
  <c r="F65" i="1" s="1"/>
  <c r="G65" i="1" s="1"/>
  <c r="H65" i="1" s="1"/>
  <c r="E64" i="1"/>
  <c r="F64" i="1" s="1"/>
  <c r="B25" i="1"/>
  <c r="B30" i="1"/>
  <c r="G64" i="1" l="1"/>
  <c r="H64" i="1" s="1"/>
  <c r="K113" i="1"/>
  <c r="K114" i="1"/>
  <c r="K115" i="1"/>
  <c r="K116" i="1"/>
  <c r="K117" i="1"/>
  <c r="K112" i="1"/>
  <c r="K119" i="1" l="1"/>
  <c r="F95" i="1"/>
  <c r="F96" i="1" s="1"/>
  <c r="E95" i="1"/>
  <c r="E96" i="1" s="1"/>
  <c r="F66" i="1"/>
  <c r="F67" i="1" s="1"/>
  <c r="E66" i="1"/>
  <c r="E67" i="1" s="1"/>
  <c r="G95" i="1" l="1"/>
  <c r="G96" i="1" s="1"/>
  <c r="H95" i="1"/>
  <c r="H96" i="1" s="1"/>
  <c r="E97" i="1"/>
  <c r="E99" i="1" s="1"/>
  <c r="E103" i="1" s="1"/>
  <c r="E105" i="1" s="1"/>
  <c r="F97" i="1"/>
  <c r="F99" i="1" s="1"/>
  <c r="F103" i="1" s="1"/>
  <c r="F105" i="1" s="1"/>
  <c r="H66" i="1"/>
  <c r="H67" i="1" s="1"/>
  <c r="G66" i="1"/>
  <c r="G67" i="1" s="1"/>
  <c r="G97" i="1" l="1"/>
  <c r="G99" i="1" s="1"/>
  <c r="G103" i="1" s="1"/>
  <c r="G105" i="1" s="1"/>
  <c r="H97" i="1"/>
  <c r="H99" i="1" s="1"/>
  <c r="H103" i="1" s="1"/>
  <c r="H105" i="1" s="1"/>
  <c r="F68" i="1"/>
  <c r="F70" i="1" s="1"/>
  <c r="F74" i="1" s="1"/>
  <c r="F76" i="1" s="1"/>
  <c r="F83" i="1" s="1"/>
  <c r="E68" i="1"/>
  <c r="E70" i="1" s="1"/>
  <c r="E74" i="1" s="1"/>
  <c r="E76" i="1" s="1"/>
  <c r="E83" i="1" l="1"/>
  <c r="D107" i="1"/>
  <c r="G68" i="1"/>
  <c r="G70" i="1" s="1"/>
  <c r="G74" i="1" s="1"/>
  <c r="G76" i="1" s="1"/>
  <c r="G83" i="1" s="1"/>
  <c r="H68" i="1" l="1"/>
  <c r="H70" i="1" s="1"/>
  <c r="H74" i="1" s="1"/>
  <c r="H76" i="1" s="1"/>
  <c r="H83" i="1" l="1"/>
  <c r="B85" i="1" s="1"/>
  <c r="B78" i="1"/>
</calcChain>
</file>

<file path=xl/sharedStrings.xml><?xml version="1.0" encoding="utf-8"?>
<sst xmlns="http://schemas.openxmlformats.org/spreadsheetml/2006/main" count="161" uniqueCount="105">
  <si>
    <t>Year Three</t>
  </si>
  <si>
    <t>Year Four</t>
  </si>
  <si>
    <t>#11</t>
  </si>
  <si>
    <t>BE SURE TO ROUND % ANSWER TO NEAREST TENTH</t>
  </si>
  <si>
    <t xml:space="preserve">NO input required for "Guess" in function box. </t>
  </si>
  <si>
    <t>#12</t>
  </si>
  <si>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</si>
  <si>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</si>
  <si>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</si>
  <si>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</si>
  <si>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</si>
  <si>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</si>
  <si>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</si>
  <si>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 xml:space="preserve">     Subtract vacancy figure from annual gross income for each year</t>
  </si>
  <si>
    <t>#1</t>
  </si>
  <si>
    <t xml:space="preserve">Output = FV   "how much will have been saved at retirement" </t>
  </si>
  <si>
    <t>Output = PV  "Present Value of Option One"</t>
  </si>
  <si>
    <t xml:space="preserve">Inputs: </t>
  </si>
  <si>
    <t>OPTION ONE</t>
  </si>
  <si>
    <t>OPTION TWO</t>
  </si>
  <si>
    <t>BOTH</t>
  </si>
  <si>
    <t>#3</t>
  </si>
  <si>
    <t>Output = PMT "monthly payment"</t>
  </si>
  <si>
    <t>REMEMBER: FOR ALL LOANS, DO MONTHLY</t>
  </si>
  <si>
    <t>#4</t>
  </si>
  <si>
    <t>Output = PMT ". . .must be saved each year . . ."</t>
  </si>
  <si>
    <t>#5</t>
  </si>
  <si>
    <t>Output = PV "how much should an investor pay"</t>
  </si>
  <si>
    <t>NOTICE: PER year = PMT</t>
  </si>
  <si>
    <t>NOTE: INVESTMENT VALUES = PV</t>
  </si>
  <si>
    <t>Inputs:</t>
  </si>
  <si>
    <t>#7</t>
  </si>
  <si>
    <t>#6</t>
  </si>
  <si>
    <t>#8</t>
  </si>
  <si>
    <t>Output = PV  "how much can you borrow", loan amount</t>
  </si>
  <si>
    <t>#9</t>
  </si>
  <si>
    <t xml:space="preserve">Output = PMT ("must be saved each year") </t>
  </si>
  <si>
    <t>#10</t>
  </si>
  <si>
    <t>Output = FV "will have been saved at retirement"</t>
  </si>
  <si>
    <t>REMEMBER: Ignore negatives and round ansers to the nearest dollar; will explain why in subsequent weeks.</t>
  </si>
  <si>
    <t>If you understand these problems, you'll do great on the midterm.</t>
  </si>
  <si>
    <t>NOTICE: EACH YEAR = PMT</t>
  </si>
  <si>
    <t>Dividing by 12 converts annual payment to monthly payment</t>
  </si>
  <si>
    <t>Output = NPV ("net present value")</t>
  </si>
  <si>
    <t>Year One</t>
  </si>
  <si>
    <t>Year Two</t>
  </si>
  <si>
    <t>Year 4</t>
  </si>
  <si>
    <t xml:space="preserve">     Subtract expenses from effective gross income for each year</t>
  </si>
  <si>
    <t xml:space="preserve">     One Bedroom Units</t>
  </si>
  <si>
    <t>One Bedroom Unit Monthly Rent =</t>
  </si>
  <si>
    <t xml:space="preserve">     Two Bedroom Units</t>
  </si>
  <si>
    <t xml:space="preserve">     Total Annual Gross Income</t>
  </si>
  <si>
    <t>Two Bedroom Unit Monthly Rent =</t>
  </si>
  <si>
    <t xml:space="preserve">      Add Gross Income Figures for One &amp; Two Bedroom Units</t>
  </si>
  <si>
    <t>Use the four net annual income figures for years one, two, three and four.</t>
  </si>
  <si>
    <t>Add Property Sale Price To Year 4</t>
  </si>
  <si>
    <t xml:space="preserve">  </t>
  </si>
  <si>
    <t xml:space="preserve">  of your pocket. Use the same figures as used in #11 and put a year zero in front with the purchase price input as a negative.</t>
  </si>
  <si>
    <t>Year Zero</t>
  </si>
  <si>
    <t>Business Statistics Mr. Nelson 10/15/2013</t>
  </si>
  <si>
    <t>#2A</t>
  </si>
  <si>
    <t>#2B</t>
  </si>
  <si>
    <t>#2C</t>
  </si>
  <si>
    <t>#BONUS</t>
  </si>
  <si>
    <t xml:space="preserve">Calculations use Net Present Value function (see #11 above).  Find the probability of each outcome using the multiplication rule.  </t>
  </si>
  <si>
    <t xml:space="preserve">Outcome Value Assuming: </t>
  </si>
  <si>
    <t>P (X,Y)</t>
  </si>
  <si>
    <t>PRODUCT OF PROBABILITY * OUTCOME</t>
  </si>
  <si>
    <t xml:space="preserve"> *</t>
  </si>
  <si>
    <t>NET PRESENT VALUE =</t>
  </si>
  <si>
    <t xml:space="preserve"> =</t>
  </si>
  <si>
    <t>ADD UP THE PRODUCTS TO FIND THE "EXPECTED VALUE FOR THIS PROPERY"</t>
  </si>
  <si>
    <t>Rate = 10%</t>
  </si>
  <si>
    <t>OPTION ONE HAS A HIGHER PRESENT VALUE &amp; IS THE BEST OPTION.</t>
  </si>
  <si>
    <t xml:space="preserve"> n = 40 (70-30);  PMT = $4,300 ("per year"); rate = 6%  PV = 0 ("no savings or debt")</t>
  </si>
  <si>
    <t xml:space="preserve">PV = $470,000 (loan amount); rate = 4.3%/12; n = 25*12 </t>
  </si>
  <si>
    <t xml:space="preserve"> FV = $60,000 (face value); PMT = $2,300 per year; rate = 7%; n = 14 years.</t>
  </si>
  <si>
    <t>NOTE: *27% allocates annual income to annual payment</t>
  </si>
  <si>
    <t>PMT = $129,000 per year * 27% / 12;</t>
  </si>
  <si>
    <t xml:space="preserve">    X 8 units X 12 months (1st Year Income For One Bedroom Units)</t>
  </si>
  <si>
    <t xml:space="preserve">    X 6 units X 12 months (1st Year Income For Two Bedroom Units)</t>
  </si>
  <si>
    <t>Vacancy &amp; Collection Loss (6%)</t>
  </si>
  <si>
    <t xml:space="preserve">      Increase each year gross income 8% by multiplying by 1.08</t>
  </si>
  <si>
    <t xml:space="preserve">     Multiply each year annual gross income by 6%</t>
  </si>
  <si>
    <t xml:space="preserve">     Increase each year expenses 5% by multiplying by 1.05</t>
  </si>
  <si>
    <t>Note: Before the clock starts (time 0), you buy the property for $1,630,000. Input the purchase price as a negative number, $ going out</t>
  </si>
  <si>
    <t>Inputs: PMT = $50,000 ("per year"); n = 10; rate = 6.5%</t>
  </si>
  <si>
    <t xml:space="preserve">Inputs: FV = $670,000  "lump sum in 12 years"; n =12; rate = 6.5% </t>
  </si>
  <si>
    <t>rate = 8.5%.</t>
  </si>
  <si>
    <r>
      <t>FV = $1,250,000 ("savings goal"); n = 30 (55 - 25); PV =</t>
    </r>
    <r>
      <rPr>
        <sz val="11"/>
        <color rgb="FFFF0000"/>
        <rFont val="Calibri"/>
        <family val="2"/>
        <scheme val="minor"/>
      </rPr>
      <t xml:space="preserve"> $9,000</t>
    </r>
    <r>
      <rPr>
        <sz val="11"/>
        <color theme="1"/>
        <rFont val="Calibri"/>
        <family val="2"/>
        <scheme val="minor"/>
      </rPr>
      <t xml:space="preserve"> ("one credit card debt of");</t>
    </r>
  </si>
  <si>
    <t>NOTICE: "Debt" input as positive $9,000.</t>
  </si>
  <si>
    <t xml:space="preserve"> FV = $20,000 (face value); rate = 5.4%; n = 16 years</t>
  </si>
  <si>
    <t xml:space="preserve">rate = 4.9%/12; n = 15*12    </t>
  </si>
  <si>
    <t>FV = $1,000,000 ("savings goal"); rate = 6.5%; n = 45 (65-20)</t>
  </si>
  <si>
    <t>PMT = $4,500 ("per year"); PV = $12,000 ("current savings"); rate = 9%; n = 40 (65 - 25)</t>
  </si>
  <si>
    <t>Determine the property values ("outcome values") for each of the six possible combinations of rent.  Output = NPV ("net present value") Rate = 10%</t>
  </si>
  <si>
    <t xml:space="preserve">      4th year annual net income of $792,059 + </t>
  </si>
  <si>
    <t xml:space="preserve">             $1,450,000 proceeds of sale  =  $2,242,059</t>
  </si>
  <si>
    <t>Output = IRR ("internal rate of return")</t>
  </si>
  <si>
    <t>One Bedroom = $600 &amp; Two Bedroom = $2,000</t>
  </si>
  <si>
    <t>One Bedroom = $800 &amp; Two Bedroom = $2,000</t>
  </si>
  <si>
    <t>One Bedroom = $1,000 &amp; Two Bedroom = $2,000</t>
  </si>
  <si>
    <t>One Bedroom = $600 &amp; Two Bedroom = $2,200</t>
  </si>
  <si>
    <t>One Bedroom = $800 &amp; Two Bedroom = $2,200</t>
  </si>
  <si>
    <t>One Bedroom = $1,000 &amp; Two Bedroom = $2,200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</si>
</sst>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6" fillId="0" borderId="0" xfId="0" applyFont="1"/>
    <xf numFmtId="0" fontId="9" fillId="0" borderId="0" xfId="0" applyFont="1"/>
    <xf numFmtId="164" fontId="8" fillId="2" borderId="0" xfId="0" applyNumberFormat="1" applyFont="1" applyFill="1"/>
    <xf numFmtId="6" fontId="0" fillId="0" borderId="0" xfId="0" applyNumberFormat="1"/>
    <xf numFmtId="164" fontId="9" fillId="0" borderId="0" xfId="0" applyNumberFormat="1" applyFont="1"/>
    <xf numFmtId="164" fontId="9" fillId="0" borderId="0" xfId="0" applyNumberFormat="1" applyFont="1" applyFill="1"/>
    <xf numFmtId="164" fontId="8" fillId="0" borderId="0" xfId="0" applyNumberFormat="1" applyFont="1" applyFill="1"/>
    <xf numFmtId="164" fontId="10" fillId="0" borderId="0" xfId="0" applyNumberFormat="1" applyFont="1" applyFill="1"/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Fill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64" fontId="13" fillId="0" borderId="0" xfId="0" applyNumberFormat="1" applyFont="1" applyFill="1"/>
    <xf numFmtId="0" fontId="14" fillId="0" borderId="0" xfId="0" applyFont="1"/>
    <xf numFmtId="0" fontId="1" fillId="2" borderId="0" xfId="0" applyFont="1" applyFill="1"/>
    <xf numFmtId="0" fontId="0" fillId="2" borderId="0" xfId="0" applyFill="1"/>
    <xf numFmtId="8" fontId="0" fillId="2" borderId="0" xfId="0" applyNumberFormat="1" applyFill="1"/>
    <xf numFmtId="0" fontId="4" fillId="2" borderId="0" xfId="0" applyFont="1" applyFill="1"/>
    <xf numFmtId="0" fontId="9" fillId="2" borderId="0" xfId="0" applyFont="1" applyFill="1"/>
    <xf numFmtId="164" fontId="0" fillId="2" borderId="0" xfId="0" applyNumberFormat="1" applyFill="1"/>
    <xf numFmtId="0" fontId="6" fillId="2" borderId="0" xfId="0" applyFont="1" applyFill="1"/>
    <xf numFmtId="164" fontId="0" fillId="2" borderId="0" xfId="1" applyNumberFormat="1" applyFont="1" applyFill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11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164" fontId="17" fillId="0" borderId="0" xfId="0" applyNumberFormat="1" applyFont="1" applyAlignment="1">
      <alignment horizontal="center"/>
    </xf>
    <xf numFmtId="6" fontId="9" fillId="0" borderId="0" xfId="0" applyNumberFormat="1" applyFont="1"/>
    <xf numFmtId="165" fontId="9" fillId="0" borderId="0" xfId="0" applyNumberFormat="1" applyFont="1"/>
    <xf numFmtId="6" fontId="1" fillId="0" borderId="0" xfId="0" applyNumberFormat="1" applyFont="1"/>
    <xf numFmtId="165" fontId="12" fillId="0" borderId="0" xfId="0" applyNumberFormat="1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566648</xdr:colOff>
      <xdr:row>0</xdr:row>
      <xdr:rowOff>0</xdr:rowOff>
    </xdr:from>
    <xdr:ext cx="8424679" cy="468013"/>
    <xdr:sp macro="" textlink="">
      <xdr:nvSpPr>
        <xdr:cNvPr id="2" name="Rectangle 1"/>
        <xdr:cNvSpPr/>
      </xdr:nvSpPr>
      <xdr:spPr>
        <a:xfrm>
          <a:off x="566648" y="0"/>
          <a:ext cx="8424679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Financial Functions Fall Final Practice Test #C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3:O125"/>
  <sheetViews>
    <sheetView tabSelected="1" zoomScale="130" zoomScaleNormal="130" zoomScaleSheetLayoutView="110" workbookViewId="0">
      <selection activeCell="A72" sqref="A72:XFD72"/>
    </sheetView>
  </sheetViews>
  <sheetFormatPr defaultColWidth="8.85546875" defaultRowHeight="15" x14ac:dyDescent="0.25"/>
  <cols>
    <col min="1" max="1" width="8.85546875" style="3"/>
    <col min="2" max="2" width="16.140625" customWidth="1"/>
    <col min="4" max="4" width="11.5703125" customWidth="1"/>
    <col min="5" max="5" width="11.140625" bestFit="1" customWidth="1"/>
    <col min="6" max="6" width="12.7109375" bestFit="1" customWidth="1"/>
    <col min="7" max="7" width="11.140625" bestFit="1" customWidth="1"/>
    <col min="8" max="8" width="10.7109375" customWidth="1"/>
    <col min="11" max="11" width="12.28515625" customWidth="1"/>
  </cols>
  <sheetData>
    <row r="3" spans="1:14" x14ac:dyDescent="0.25">
      <c r="A3" s="47" t="s">
        <v>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5">
      <c r="A4" s="47" t="s">
        <v>40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/>
    </row>
    <row r="7" spans="1:14" ht="15.75" x14ac:dyDescent="0.25">
      <c r="A7" s="3" t="s">
        <v>14</v>
      </c>
      <c r="C7" t="s">
        <v>25</v>
      </c>
      <c r="J7" s="2" t="s">
        <v>41</v>
      </c>
    </row>
    <row r="8" spans="1:14" x14ac:dyDescent="0.25">
      <c r="B8" s="44">
        <f>PMT(8.5%,30,9000,1250000)</f>
        <v>-10900.674316885952</v>
      </c>
    </row>
    <row r="9" spans="1:14" x14ac:dyDescent="0.25">
      <c r="C9" t="s">
        <v>17</v>
      </c>
      <c r="D9" t="s">
        <v>89</v>
      </c>
    </row>
    <row r="10" spans="1:14" ht="15.75" x14ac:dyDescent="0.25">
      <c r="D10" t="s">
        <v>88</v>
      </c>
      <c r="I10" s="2" t="s">
        <v>90</v>
      </c>
    </row>
    <row r="11" spans="1:14" x14ac:dyDescent="0.2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3" spans="1:14" x14ac:dyDescent="0.25">
      <c r="A13" s="3" t="s">
        <v>60</v>
      </c>
      <c r="B13" t="s">
        <v>20</v>
      </c>
      <c r="C13" t="s">
        <v>16</v>
      </c>
    </row>
    <row r="15" spans="1:14" ht="15.75" x14ac:dyDescent="0.25">
      <c r="B15" t="s">
        <v>18</v>
      </c>
      <c r="C15" t="s">
        <v>86</v>
      </c>
      <c r="J15" s="2" t="s">
        <v>28</v>
      </c>
    </row>
    <row r="16" spans="1:14" x14ac:dyDescent="0.25">
      <c r="B16" s="44">
        <f>PV(6.5%,10,50000)</f>
        <v>-359441.51113805472</v>
      </c>
    </row>
    <row r="17" spans="1:14" x14ac:dyDescent="0.25">
      <c r="A17" s="20"/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5">
      <c r="A18" s="3" t="s">
        <v>61</v>
      </c>
    </row>
    <row r="19" spans="1:14" x14ac:dyDescent="0.25">
      <c r="B19" t="s">
        <v>19</v>
      </c>
      <c r="C19" t="s">
        <v>87</v>
      </c>
    </row>
    <row r="20" spans="1:14" x14ac:dyDescent="0.25">
      <c r="B20" s="44">
        <f>PV(6.5%,12,0,670000)</f>
        <v>-314687.51244131848</v>
      </c>
    </row>
    <row r="21" spans="1:14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5">
      <c r="A22" s="3" t="s">
        <v>62</v>
      </c>
      <c r="B22" s="7" t="s">
        <v>73</v>
      </c>
      <c r="C22" s="7"/>
      <c r="D22" s="7"/>
      <c r="E22" s="7"/>
      <c r="F22" s="7"/>
    </row>
    <row r="23" spans="1:14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5.75" x14ac:dyDescent="0.25">
      <c r="A24" s="3" t="s">
        <v>21</v>
      </c>
      <c r="C24" t="s">
        <v>27</v>
      </c>
      <c r="I24" s="2" t="s">
        <v>29</v>
      </c>
    </row>
    <row r="25" spans="1:14" x14ac:dyDescent="0.25">
      <c r="B25" s="44">
        <f>PV(7%,14,2300,60000)</f>
        <v>-43383.610827613105</v>
      </c>
    </row>
    <row r="26" spans="1:14" x14ac:dyDescent="0.25">
      <c r="C26" t="s">
        <v>30</v>
      </c>
      <c r="D26" t="s">
        <v>76</v>
      </c>
    </row>
    <row r="28" spans="1:14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15.75" x14ac:dyDescent="0.25">
      <c r="A29" s="3" t="s">
        <v>24</v>
      </c>
      <c r="C29" t="s">
        <v>15</v>
      </c>
      <c r="J29" s="2" t="s">
        <v>28</v>
      </c>
    </row>
    <row r="30" spans="1:14" x14ac:dyDescent="0.25">
      <c r="B30" s="44">
        <f>FV(6%,40,4300,0)</f>
        <v>-665476.45216069161</v>
      </c>
    </row>
    <row r="31" spans="1:14" x14ac:dyDescent="0.25">
      <c r="C31" t="s">
        <v>17</v>
      </c>
      <c r="D31" t="s">
        <v>74</v>
      </c>
    </row>
    <row r="33" spans="1:14" x14ac:dyDescent="0.2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5" spans="1:14" ht="18.75" x14ac:dyDescent="0.3">
      <c r="A35" s="3" t="s">
        <v>26</v>
      </c>
      <c r="C35" t="s">
        <v>22</v>
      </c>
      <c r="G35" s="1" t="s">
        <v>23</v>
      </c>
    </row>
    <row r="36" spans="1:14" x14ac:dyDescent="0.25">
      <c r="B36" s="44">
        <f>PMT(4.3%/12,25*12,470000)</f>
        <v>-2559.3455627659946</v>
      </c>
    </row>
    <row r="37" spans="1:14" x14ac:dyDescent="0.25">
      <c r="C37" t="s">
        <v>17</v>
      </c>
      <c r="D37" t="s">
        <v>75</v>
      </c>
    </row>
    <row r="38" spans="1:14" x14ac:dyDescent="0.2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40" spans="1:14" ht="15.75" x14ac:dyDescent="0.25">
      <c r="A40" s="3" t="s">
        <v>32</v>
      </c>
      <c r="C40" t="s">
        <v>27</v>
      </c>
      <c r="I40" s="2" t="s">
        <v>29</v>
      </c>
    </row>
    <row r="41" spans="1:14" x14ac:dyDescent="0.25">
      <c r="B41" s="44">
        <f>PV(5.4%,16,,20000)</f>
        <v>-8621.4481693290909</v>
      </c>
    </row>
    <row r="42" spans="1:14" x14ac:dyDescent="0.25">
      <c r="C42" t="s">
        <v>30</v>
      </c>
      <c r="D42" t="s">
        <v>91</v>
      </c>
    </row>
    <row r="43" spans="1:14" x14ac:dyDescent="0.2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0" t="s">
        <v>59</v>
      </c>
      <c r="L43" s="21"/>
      <c r="M43" s="21"/>
      <c r="N43" s="21"/>
    </row>
    <row r="44" spans="1:14" x14ac:dyDescent="0.25">
      <c r="A44" s="3" t="s">
        <v>31</v>
      </c>
      <c r="C44" t="s">
        <v>38</v>
      </c>
      <c r="H44" s="4"/>
    </row>
    <row r="45" spans="1:14" x14ac:dyDescent="0.25">
      <c r="B45" s="44">
        <f>FV(9%,40,4500,12000)</f>
        <v>-1897384.0433473384</v>
      </c>
    </row>
    <row r="46" spans="1:14" x14ac:dyDescent="0.25">
      <c r="C46" t="s">
        <v>30</v>
      </c>
      <c r="D46" t="s">
        <v>94</v>
      </c>
    </row>
    <row r="48" spans="1:14" x14ac:dyDescent="0.25">
      <c r="A48" s="20"/>
      <c r="B48" s="21"/>
      <c r="C48" s="21"/>
      <c r="D48" s="21"/>
      <c r="E48" s="21"/>
      <c r="F48" s="21"/>
      <c r="G48" s="21"/>
      <c r="H48" s="23"/>
      <c r="I48" s="23"/>
      <c r="J48" s="23"/>
      <c r="K48" s="23"/>
      <c r="L48" s="23"/>
      <c r="M48" s="20"/>
      <c r="N48" s="21"/>
    </row>
    <row r="49" spans="1:14" ht="15.75" x14ac:dyDescent="0.25">
      <c r="A49" s="3" t="s">
        <v>33</v>
      </c>
      <c r="C49" t="s">
        <v>36</v>
      </c>
      <c r="I49" s="2" t="s">
        <v>41</v>
      </c>
    </row>
    <row r="50" spans="1:14" x14ac:dyDescent="0.25">
      <c r="B50" s="44">
        <f>PMT(6.5%,45,,1000000)</f>
        <v>-4059.6840685176453</v>
      </c>
    </row>
    <row r="51" spans="1:14" x14ac:dyDescent="0.25">
      <c r="C51" t="s">
        <v>30</v>
      </c>
      <c r="D51" t="s">
        <v>93</v>
      </c>
    </row>
    <row r="52" spans="1:14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4" spans="1:14" x14ac:dyDescent="0.25">
      <c r="A54" s="3" t="s">
        <v>35</v>
      </c>
      <c r="C54" t="s">
        <v>34</v>
      </c>
    </row>
    <row r="55" spans="1:14" x14ac:dyDescent="0.25">
      <c r="B55" s="44">
        <f>PV(4.9%/12,15*12,129000*27%/12)</f>
        <v>-369465.55036124593</v>
      </c>
    </row>
    <row r="56" spans="1:14" ht="15.75" x14ac:dyDescent="0.25">
      <c r="C56" t="s">
        <v>30</v>
      </c>
      <c r="D56" t="s">
        <v>78</v>
      </c>
      <c r="H56" s="2" t="s">
        <v>77</v>
      </c>
      <c r="I56" s="2"/>
      <c r="J56" s="2"/>
      <c r="K56" s="2"/>
      <c r="L56" s="2"/>
      <c r="M56" s="2"/>
    </row>
    <row r="57" spans="1:14" ht="15.75" x14ac:dyDescent="0.25">
      <c r="D57" t="s">
        <v>92</v>
      </c>
      <c r="H57" s="2" t="s">
        <v>42</v>
      </c>
      <c r="I57" s="2"/>
      <c r="J57" s="2"/>
      <c r="K57" s="2"/>
      <c r="L57" s="2"/>
      <c r="M57" s="2"/>
    </row>
    <row r="58" spans="1:14" x14ac:dyDescent="0.25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 x14ac:dyDescent="0.25">
      <c r="A59" s="3" t="s">
        <v>37</v>
      </c>
      <c r="B59" s="7" t="s">
        <v>49</v>
      </c>
      <c r="E59" s="9">
        <v>800</v>
      </c>
      <c r="F59" s="3" t="s">
        <v>79</v>
      </c>
    </row>
    <row r="60" spans="1:14" x14ac:dyDescent="0.25">
      <c r="B60" s="7" t="s">
        <v>52</v>
      </c>
      <c r="E60" s="9">
        <v>2000</v>
      </c>
      <c r="F60" s="3" t="s">
        <v>80</v>
      </c>
    </row>
    <row r="62" spans="1:14" x14ac:dyDescent="0.25">
      <c r="E62" t="s">
        <v>6</v>
      </c>
      <c r="F62" t="s">
        <v>7</v>
      </c>
      <c r="G62" t="s">
        <v>8</v>
      </c>
      <c r="H62" t="s">
        <v>46</v>
      </c>
    </row>
    <row r="63" spans="1:14" x14ac:dyDescent="0.25">
      <c r="B63" s="7" t="s">
        <v>9</v>
      </c>
    </row>
    <row r="64" spans="1:14" x14ac:dyDescent="0.25">
      <c r="B64" s="7" t="s">
        <v>48</v>
      </c>
      <c r="E64" s="5">
        <f>E59*8*12</f>
        <v>76800</v>
      </c>
      <c r="F64" s="5">
        <f t="shared" ref="F64:H65" si="0">E64*1.08</f>
        <v>82944</v>
      </c>
      <c r="G64" s="5">
        <f t="shared" si="0"/>
        <v>89579.520000000004</v>
      </c>
      <c r="H64" s="10">
        <f t="shared" si="0"/>
        <v>96745.881600000008</v>
      </c>
      <c r="I64" s="4" t="s">
        <v>82</v>
      </c>
    </row>
    <row r="65" spans="1:15" x14ac:dyDescent="0.25">
      <c r="B65" s="7" t="s">
        <v>50</v>
      </c>
      <c r="E65" s="5">
        <f>E60*6*12</f>
        <v>144000</v>
      </c>
      <c r="F65" s="5">
        <f t="shared" si="0"/>
        <v>155520</v>
      </c>
      <c r="G65" s="5">
        <f t="shared" si="0"/>
        <v>167961.60000000001</v>
      </c>
      <c r="H65" s="10">
        <f t="shared" si="0"/>
        <v>181398.52800000002</v>
      </c>
      <c r="I65" s="4" t="s">
        <v>82</v>
      </c>
    </row>
    <row r="66" spans="1:15" x14ac:dyDescent="0.25">
      <c r="B66" s="7" t="s">
        <v>51</v>
      </c>
      <c r="E66" s="5">
        <f>E64+E65</f>
        <v>220800</v>
      </c>
      <c r="F66" s="5">
        <f t="shared" ref="F66:H66" si="1">F64+F65</f>
        <v>238464</v>
      </c>
      <c r="G66" s="5">
        <f t="shared" si="1"/>
        <v>257541.12</v>
      </c>
      <c r="H66" s="10">
        <f t="shared" si="1"/>
        <v>278144.40960000001</v>
      </c>
      <c r="I66" s="4" t="s">
        <v>53</v>
      </c>
      <c r="J66" s="6"/>
      <c r="K66" s="6"/>
      <c r="L66" s="6"/>
      <c r="M66" s="6"/>
      <c r="N66" s="6"/>
      <c r="O66" s="6"/>
    </row>
    <row r="67" spans="1:15" x14ac:dyDescent="0.25">
      <c r="B67" s="7" t="s">
        <v>81</v>
      </c>
      <c r="E67" s="5">
        <f>E66*0.06</f>
        <v>13248</v>
      </c>
      <c r="F67" s="5">
        <f>F66*0.06</f>
        <v>14307.84</v>
      </c>
      <c r="G67" s="5">
        <f>G66*0.06</f>
        <v>15452.467199999999</v>
      </c>
      <c r="H67" s="10">
        <f>H66*0.06</f>
        <v>16688.664575999999</v>
      </c>
      <c r="I67" s="4" t="s">
        <v>83</v>
      </c>
      <c r="J67" s="6"/>
      <c r="K67" s="6"/>
      <c r="L67" s="6"/>
      <c r="M67" s="6"/>
      <c r="N67" s="6"/>
      <c r="O67" s="6"/>
    </row>
    <row r="68" spans="1:15" x14ac:dyDescent="0.25">
      <c r="B68" s="7" t="s">
        <v>10</v>
      </c>
      <c r="E68" s="5">
        <f>E66-E67</f>
        <v>207552</v>
      </c>
      <c r="F68" s="5">
        <f>F66-F67</f>
        <v>224156.16</v>
      </c>
      <c r="G68" s="5">
        <f>G66-G67</f>
        <v>242088.65279999998</v>
      </c>
      <c r="H68" s="10">
        <f>H66-H67</f>
        <v>261455.745024</v>
      </c>
      <c r="I68" s="4" t="s">
        <v>13</v>
      </c>
      <c r="J68" s="6"/>
      <c r="K68" s="6"/>
      <c r="L68" s="6"/>
      <c r="M68" s="6"/>
      <c r="N68" s="6"/>
      <c r="O68" s="6"/>
    </row>
    <row r="69" spans="1:15" x14ac:dyDescent="0.25">
      <c r="B69" s="7" t="s">
        <v>11</v>
      </c>
      <c r="E69" s="5">
        <v>75000</v>
      </c>
      <c r="F69" s="5">
        <f>E69*1.05</f>
        <v>78750</v>
      </c>
      <c r="G69" s="5">
        <f>F69*1.05</f>
        <v>82687.5</v>
      </c>
      <c r="H69" s="10">
        <f>G69*1.05</f>
        <v>86821.875</v>
      </c>
      <c r="I69" s="4" t="s">
        <v>84</v>
      </c>
      <c r="J69" s="6"/>
      <c r="K69" s="6"/>
      <c r="L69" s="6"/>
      <c r="M69" s="6"/>
      <c r="N69" s="6"/>
      <c r="O69" s="6"/>
    </row>
    <row r="70" spans="1:15" x14ac:dyDescent="0.25">
      <c r="B70" s="7" t="s">
        <v>12</v>
      </c>
      <c r="E70" s="5">
        <f>E68-E69</f>
        <v>132552</v>
      </c>
      <c r="F70" s="5">
        <f>F68-F69</f>
        <v>145406.16</v>
      </c>
      <c r="G70" s="5">
        <f>G68-G69</f>
        <v>159401.15279999998</v>
      </c>
      <c r="H70" s="11">
        <f>H68-H69</f>
        <v>174633.870024</v>
      </c>
      <c r="I70" s="4" t="s">
        <v>47</v>
      </c>
      <c r="J70" s="6"/>
      <c r="K70" s="6"/>
      <c r="L70" s="6"/>
      <c r="M70" s="6"/>
      <c r="N70" s="6"/>
      <c r="O70" s="6"/>
    </row>
    <row r="71" spans="1:15" x14ac:dyDescent="0.25">
      <c r="A71" s="20"/>
      <c r="B71" s="24"/>
      <c r="C71" s="21"/>
      <c r="D71" s="21"/>
      <c r="E71" s="25"/>
      <c r="F71" s="25"/>
      <c r="G71" s="25"/>
      <c r="H71" s="8"/>
      <c r="I71" s="23"/>
      <c r="J71" s="26"/>
      <c r="K71" s="26"/>
      <c r="L71" s="26"/>
      <c r="M71" s="26"/>
      <c r="N71" s="26"/>
      <c r="O71" s="6"/>
    </row>
    <row r="72" spans="1:15" x14ac:dyDescent="0.25">
      <c r="A72" s="3" t="s">
        <v>2</v>
      </c>
      <c r="B72" s="7" t="s">
        <v>54</v>
      </c>
      <c r="E72" s="5"/>
      <c r="F72" s="5"/>
      <c r="G72" s="5"/>
      <c r="H72" s="12"/>
      <c r="I72" s="4"/>
      <c r="J72" s="6"/>
      <c r="K72" s="6"/>
      <c r="L72" s="6"/>
      <c r="M72" s="6"/>
      <c r="N72" s="6"/>
      <c r="O72" s="6"/>
    </row>
    <row r="73" spans="1:15" x14ac:dyDescent="0.25">
      <c r="B73" s="7"/>
      <c r="E73" s="14" t="s">
        <v>44</v>
      </c>
      <c r="F73" s="14" t="s">
        <v>45</v>
      </c>
      <c r="G73" s="14" t="s">
        <v>0</v>
      </c>
      <c r="H73" s="15" t="s">
        <v>1</v>
      </c>
      <c r="I73" s="4"/>
      <c r="J73" s="6"/>
      <c r="K73" s="6"/>
      <c r="L73" s="6"/>
      <c r="M73" s="6"/>
      <c r="N73" s="6"/>
      <c r="O73" s="6"/>
    </row>
    <row r="74" spans="1:15" x14ac:dyDescent="0.25">
      <c r="B74" s="7"/>
      <c r="E74" s="5">
        <f>E70</f>
        <v>132552</v>
      </c>
      <c r="F74" s="5">
        <f>F70</f>
        <v>145406.16</v>
      </c>
      <c r="G74" s="5">
        <f>G70</f>
        <v>159401.15279999998</v>
      </c>
      <c r="H74" s="13">
        <f>H70</f>
        <v>174633.870024</v>
      </c>
      <c r="I74" s="4"/>
      <c r="J74" s="6"/>
      <c r="K74" s="6"/>
      <c r="L74" s="6"/>
      <c r="M74" s="6"/>
      <c r="N74" s="6"/>
      <c r="O74" s="6"/>
    </row>
    <row r="75" spans="1:15" s="3" customFormat="1" x14ac:dyDescent="0.25">
      <c r="B75" s="16" t="s">
        <v>55</v>
      </c>
      <c r="C75" s="16"/>
      <c r="D75" s="16"/>
      <c r="E75" s="17"/>
      <c r="F75" s="17"/>
      <c r="G75" s="17"/>
      <c r="H75" s="18">
        <v>1450000</v>
      </c>
      <c r="I75" s="3" t="s">
        <v>96</v>
      </c>
      <c r="J75" s="19"/>
      <c r="K75" s="19"/>
      <c r="L75" s="19"/>
      <c r="M75" s="19"/>
      <c r="N75" s="19"/>
      <c r="O75" s="19"/>
    </row>
    <row r="76" spans="1:15" x14ac:dyDescent="0.25">
      <c r="B76" s="7"/>
      <c r="E76" s="5">
        <f>E74</f>
        <v>132552</v>
      </c>
      <c r="F76" s="5">
        <f t="shared" ref="F76:G76" si="2">F74</f>
        <v>145406.16</v>
      </c>
      <c r="G76" s="5">
        <f t="shared" si="2"/>
        <v>159401.15279999998</v>
      </c>
      <c r="H76" s="13">
        <f>H74+H75</f>
        <v>1624633.8700240001</v>
      </c>
      <c r="I76" s="3" t="s">
        <v>97</v>
      </c>
      <c r="J76" s="6"/>
      <c r="K76" s="6"/>
      <c r="L76" s="6"/>
      <c r="M76" s="6"/>
      <c r="N76" s="6"/>
      <c r="O76" s="6"/>
    </row>
    <row r="77" spans="1:15" x14ac:dyDescent="0.25">
      <c r="B77" t="s">
        <v>43</v>
      </c>
    </row>
    <row r="78" spans="1:15" x14ac:dyDescent="0.25">
      <c r="B78" s="42">
        <f>NPV(10%,E76:H76)</f>
        <v>1470079.4369947403</v>
      </c>
      <c r="E78" t="s">
        <v>72</v>
      </c>
    </row>
    <row r="79" spans="1:15" x14ac:dyDescent="0.25">
      <c r="A79" s="20"/>
      <c r="B79" s="21"/>
      <c r="C79" s="21"/>
      <c r="D79" s="21"/>
      <c r="E79" s="21"/>
      <c r="F79" s="27"/>
      <c r="G79" s="21"/>
      <c r="H79" s="21"/>
      <c r="I79" s="20"/>
      <c r="J79" s="20"/>
      <c r="K79" s="20"/>
      <c r="L79" s="20"/>
      <c r="M79" s="20"/>
      <c r="N79" s="20"/>
    </row>
    <row r="80" spans="1:15" x14ac:dyDescent="0.25">
      <c r="A80" s="3" t="s">
        <v>5</v>
      </c>
      <c r="B80" s="3" t="s">
        <v>85</v>
      </c>
      <c r="I80" s="3"/>
      <c r="J80" s="3"/>
      <c r="K80" s="3"/>
      <c r="L80" s="3"/>
      <c r="M80" s="3"/>
      <c r="N80" s="3"/>
    </row>
    <row r="81" spans="1:14" x14ac:dyDescent="0.25">
      <c r="B81" s="3" t="s">
        <v>57</v>
      </c>
    </row>
    <row r="82" spans="1:14" x14ac:dyDescent="0.25">
      <c r="D82" t="s">
        <v>58</v>
      </c>
      <c r="E82" s="14" t="s">
        <v>44</v>
      </c>
      <c r="F82" s="14" t="s">
        <v>45</v>
      </c>
      <c r="G82" s="14" t="s">
        <v>0</v>
      </c>
      <c r="H82" s="15" t="s">
        <v>1</v>
      </c>
    </row>
    <row r="83" spans="1:14" x14ac:dyDescent="0.25">
      <c r="D83" s="5">
        <f>-1630000</f>
        <v>-1630000</v>
      </c>
      <c r="E83" s="5">
        <f>E76</f>
        <v>132552</v>
      </c>
      <c r="F83" s="5">
        <f t="shared" ref="F83:H83" si="3">F76</f>
        <v>145406.16</v>
      </c>
      <c r="G83" s="5">
        <f t="shared" si="3"/>
        <v>159401.15279999998</v>
      </c>
      <c r="H83" s="5">
        <f t="shared" si="3"/>
        <v>1624633.8700240001</v>
      </c>
      <c r="I83" s="3" t="s">
        <v>3</v>
      </c>
    </row>
    <row r="84" spans="1:14" x14ac:dyDescent="0.25">
      <c r="C84" t="s">
        <v>98</v>
      </c>
      <c r="I84" s="3" t="s">
        <v>4</v>
      </c>
    </row>
    <row r="85" spans="1:14" x14ac:dyDescent="0.25">
      <c r="B85" s="43">
        <f>IRR(D83:H83)</f>
        <v>6.8218397119796714E-2</v>
      </c>
    </row>
    <row r="86" spans="1:14" x14ac:dyDescent="0.25">
      <c r="A86" s="20"/>
      <c r="B86" s="21"/>
      <c r="C86" s="21"/>
      <c r="D86" s="21"/>
      <c r="E86" s="21"/>
      <c r="F86" s="25"/>
      <c r="G86" s="21"/>
      <c r="H86" s="20" t="s">
        <v>56</v>
      </c>
      <c r="I86" s="21"/>
      <c r="J86" s="20" t="s">
        <v>59</v>
      </c>
      <c r="K86" s="21"/>
      <c r="L86" s="21"/>
      <c r="M86" s="21"/>
      <c r="N86" s="21"/>
    </row>
    <row r="87" spans="1:14" ht="21" customHeight="1" x14ac:dyDescent="0.25">
      <c r="A87" s="28"/>
      <c r="B87" s="29"/>
      <c r="C87" s="29"/>
      <c r="D87" s="29"/>
      <c r="E87" s="29"/>
      <c r="F87" s="30"/>
      <c r="G87" s="29"/>
      <c r="H87" s="28"/>
      <c r="I87" s="28"/>
      <c r="J87" s="29"/>
      <c r="K87" s="29"/>
      <c r="L87" s="29"/>
      <c r="M87" s="29"/>
      <c r="N87" s="29"/>
    </row>
    <row r="88" spans="1:14" x14ac:dyDescent="0.25">
      <c r="A88" s="3" t="s">
        <v>63</v>
      </c>
      <c r="B88" s="7" t="s">
        <v>49</v>
      </c>
      <c r="E88" s="9">
        <v>600</v>
      </c>
      <c r="F88" s="3" t="s">
        <v>79</v>
      </c>
    </row>
    <row r="89" spans="1:14" x14ac:dyDescent="0.25">
      <c r="B89" s="7" t="s">
        <v>52</v>
      </c>
      <c r="E89" s="9">
        <v>2200</v>
      </c>
      <c r="F89" s="3" t="s">
        <v>80</v>
      </c>
    </row>
    <row r="91" spans="1:14" x14ac:dyDescent="0.25">
      <c r="E91" t="s">
        <v>6</v>
      </c>
      <c r="F91" t="s">
        <v>7</v>
      </c>
      <c r="G91" t="s">
        <v>8</v>
      </c>
      <c r="H91" t="s">
        <v>46</v>
      </c>
    </row>
    <row r="92" spans="1:14" x14ac:dyDescent="0.25">
      <c r="B92" s="7" t="s">
        <v>9</v>
      </c>
    </row>
    <row r="93" spans="1:14" x14ac:dyDescent="0.25">
      <c r="B93" s="7" t="s">
        <v>48</v>
      </c>
      <c r="E93" s="5">
        <f>E88*8*12</f>
        <v>57600</v>
      </c>
      <c r="F93" s="5">
        <f t="shared" ref="F93:H94" si="4">E93*1.08</f>
        <v>62208.000000000007</v>
      </c>
      <c r="G93" s="5">
        <f t="shared" si="4"/>
        <v>67184.640000000014</v>
      </c>
      <c r="H93" s="10">
        <f t="shared" si="4"/>
        <v>72559.411200000017</v>
      </c>
      <c r="I93" s="4" t="s">
        <v>82</v>
      </c>
    </row>
    <row r="94" spans="1:14" x14ac:dyDescent="0.25">
      <c r="B94" s="7" t="s">
        <v>50</v>
      </c>
      <c r="E94" s="5">
        <f>E89*6*12</f>
        <v>158400</v>
      </c>
      <c r="F94" s="5">
        <f t="shared" si="4"/>
        <v>171072</v>
      </c>
      <c r="G94" s="5">
        <f t="shared" si="4"/>
        <v>184757.76000000001</v>
      </c>
      <c r="H94" s="10">
        <f t="shared" si="4"/>
        <v>199538.38080000001</v>
      </c>
      <c r="I94" s="4" t="s">
        <v>82</v>
      </c>
    </row>
    <row r="95" spans="1:14" x14ac:dyDescent="0.25">
      <c r="B95" s="7" t="s">
        <v>51</v>
      </c>
      <c r="E95" s="5">
        <f>E93+E94</f>
        <v>216000</v>
      </c>
      <c r="F95" s="5">
        <f t="shared" ref="F95" si="5">F93+F94</f>
        <v>233280</v>
      </c>
      <c r="G95" s="5">
        <f t="shared" ref="G95" si="6">G93+G94</f>
        <v>251942.40000000002</v>
      </c>
      <c r="H95" s="10">
        <f t="shared" ref="H95" si="7">H93+H94</f>
        <v>272097.79200000002</v>
      </c>
      <c r="I95" s="4" t="s">
        <v>53</v>
      </c>
      <c r="J95" s="6"/>
      <c r="K95" s="6"/>
      <c r="L95" s="6"/>
      <c r="M95" s="6"/>
      <c r="N95" s="6"/>
    </row>
    <row r="96" spans="1:14" x14ac:dyDescent="0.25">
      <c r="B96" s="7" t="s">
        <v>81</v>
      </c>
      <c r="E96" s="5">
        <f>E95*0.06</f>
        <v>12960</v>
      </c>
      <c r="F96" s="5">
        <f>F95*0.06</f>
        <v>13996.8</v>
      </c>
      <c r="G96" s="5">
        <f>G95*0.06</f>
        <v>15116.544000000002</v>
      </c>
      <c r="H96" s="10">
        <f>H95*0.06</f>
        <v>16325.86752</v>
      </c>
      <c r="I96" s="4" t="s">
        <v>83</v>
      </c>
      <c r="J96" s="6"/>
      <c r="K96" s="6"/>
      <c r="L96" s="6"/>
      <c r="M96" s="6"/>
      <c r="N96" s="6"/>
    </row>
    <row r="97" spans="2:14" x14ac:dyDescent="0.25">
      <c r="B97" s="7" t="s">
        <v>10</v>
      </c>
      <c r="E97" s="5">
        <f>E95-E96</f>
        <v>203040</v>
      </c>
      <c r="F97" s="5">
        <f>F95-F96</f>
        <v>219283.20000000001</v>
      </c>
      <c r="G97" s="5">
        <f>G95-G96</f>
        <v>236825.85600000003</v>
      </c>
      <c r="H97" s="10">
        <f>H95-H96</f>
        <v>255771.92448000002</v>
      </c>
      <c r="I97" s="4" t="s">
        <v>13</v>
      </c>
      <c r="J97" s="6"/>
      <c r="K97" s="6"/>
      <c r="L97" s="6"/>
      <c r="M97" s="6"/>
      <c r="N97" s="6"/>
    </row>
    <row r="98" spans="2:14" x14ac:dyDescent="0.25">
      <c r="B98" s="7" t="s">
        <v>11</v>
      </c>
      <c r="E98" s="5">
        <v>75000</v>
      </c>
      <c r="F98" s="5">
        <f>E98*1.05</f>
        <v>78750</v>
      </c>
      <c r="G98" s="5">
        <f>F98*1.05</f>
        <v>82687.5</v>
      </c>
      <c r="H98" s="10">
        <f>G98*1.05</f>
        <v>86821.875</v>
      </c>
      <c r="I98" s="4" t="s">
        <v>84</v>
      </c>
      <c r="J98" s="6"/>
      <c r="K98" s="6"/>
      <c r="L98" s="6"/>
      <c r="M98" s="6"/>
      <c r="N98" s="6"/>
    </row>
    <row r="99" spans="2:14" x14ac:dyDescent="0.25">
      <c r="B99" s="7" t="s">
        <v>12</v>
      </c>
      <c r="E99" s="5">
        <f>E97-E98</f>
        <v>128040</v>
      </c>
      <c r="F99" s="5">
        <f>F97-F98</f>
        <v>140533.20000000001</v>
      </c>
      <c r="G99" s="5">
        <f>G97-G98</f>
        <v>154138.35600000003</v>
      </c>
      <c r="H99" s="11">
        <f>H97-H98</f>
        <v>168950.04948000002</v>
      </c>
      <c r="I99" s="4" t="s">
        <v>47</v>
      </c>
      <c r="J99" s="6"/>
      <c r="K99" s="6"/>
      <c r="L99" s="6"/>
      <c r="M99" s="6"/>
      <c r="N99" s="6"/>
    </row>
    <row r="100" spans="2:14" x14ac:dyDescent="0.25">
      <c r="B100" s="7"/>
      <c r="E100" s="5"/>
      <c r="F100" s="5"/>
      <c r="G100" s="5"/>
      <c r="H100" s="11"/>
      <c r="I100" s="4"/>
      <c r="J100" s="6"/>
      <c r="K100" s="6"/>
      <c r="L100" s="6"/>
      <c r="M100" s="6"/>
      <c r="N100" s="6"/>
    </row>
    <row r="101" spans="2:14" x14ac:dyDescent="0.25">
      <c r="B101" s="7" t="s">
        <v>54</v>
      </c>
      <c r="E101" s="5"/>
      <c r="F101" s="5"/>
      <c r="G101" s="5"/>
      <c r="H101" s="12"/>
      <c r="I101" s="4"/>
      <c r="J101" s="6"/>
      <c r="K101" s="6"/>
      <c r="L101" s="6"/>
      <c r="M101" s="6"/>
      <c r="N101" s="6"/>
    </row>
    <row r="102" spans="2:14" x14ac:dyDescent="0.25">
      <c r="B102" s="7"/>
      <c r="E102" s="14" t="s">
        <v>44</v>
      </c>
      <c r="F102" s="14" t="s">
        <v>45</v>
      </c>
      <c r="G102" s="14" t="s">
        <v>0</v>
      </c>
      <c r="H102" s="15" t="s">
        <v>1</v>
      </c>
      <c r="I102" s="4"/>
      <c r="J102" s="6"/>
      <c r="K102" s="6"/>
      <c r="L102" s="6"/>
      <c r="M102" s="6"/>
      <c r="N102" s="6"/>
    </row>
    <row r="103" spans="2:14" x14ac:dyDescent="0.25">
      <c r="B103" s="7"/>
      <c r="E103" s="5">
        <f>E99</f>
        <v>128040</v>
      </c>
      <c r="F103" s="5">
        <f t="shared" ref="F103:H103" si="8">F99</f>
        <v>140533.20000000001</v>
      </c>
      <c r="G103" s="5">
        <f t="shared" si="8"/>
        <v>154138.35600000003</v>
      </c>
      <c r="H103" s="5">
        <f t="shared" si="8"/>
        <v>168950.04948000002</v>
      </c>
      <c r="I103" s="4"/>
      <c r="J103" s="6"/>
      <c r="K103" s="6"/>
      <c r="L103" s="6"/>
      <c r="M103" s="6"/>
      <c r="N103" s="6"/>
    </row>
    <row r="104" spans="2:14" x14ac:dyDescent="0.25">
      <c r="B104" s="16" t="s">
        <v>55</v>
      </c>
      <c r="C104" s="16"/>
      <c r="D104" s="16"/>
      <c r="E104" s="17"/>
      <c r="F104" s="17"/>
      <c r="G104" s="17"/>
      <c r="H104" s="18">
        <v>1450000</v>
      </c>
      <c r="I104" s="4"/>
      <c r="J104" s="6"/>
      <c r="K104" s="6"/>
      <c r="L104" s="6"/>
      <c r="M104" s="6"/>
      <c r="N104" s="6"/>
    </row>
    <row r="105" spans="2:14" x14ac:dyDescent="0.25">
      <c r="B105" s="7"/>
      <c r="E105" s="5">
        <f>E103</f>
        <v>128040</v>
      </c>
      <c r="F105" s="5">
        <f t="shared" ref="F105:G105" si="9">F103</f>
        <v>140533.20000000001</v>
      </c>
      <c r="G105" s="5">
        <f t="shared" si="9"/>
        <v>154138.35600000003</v>
      </c>
      <c r="H105" s="13">
        <f>H103+H104</f>
        <v>1618950.04948</v>
      </c>
      <c r="I105" s="4"/>
      <c r="J105" s="6"/>
      <c r="K105" s="6"/>
      <c r="L105" s="6"/>
      <c r="M105" s="6"/>
      <c r="N105" s="6"/>
    </row>
    <row r="106" spans="2:14" x14ac:dyDescent="0.25">
      <c r="I106" s="4"/>
      <c r="J106" s="6"/>
      <c r="K106" s="6"/>
      <c r="L106" s="6"/>
      <c r="M106" s="6"/>
      <c r="N106" s="6"/>
    </row>
    <row r="107" spans="2:14" x14ac:dyDescent="0.25">
      <c r="B107" s="3" t="s">
        <v>69</v>
      </c>
      <c r="D107" s="10">
        <f>NPV(10%,E105:H105)</f>
        <v>1454114.2361040907</v>
      </c>
    </row>
    <row r="108" spans="2:14" x14ac:dyDescent="0.25">
      <c r="B108" s="31" t="s">
        <v>95</v>
      </c>
    </row>
    <row r="109" spans="2:14" x14ac:dyDescent="0.25">
      <c r="B109" s="31" t="s">
        <v>64</v>
      </c>
    </row>
    <row r="110" spans="2:14" x14ac:dyDescent="0.25">
      <c r="B110" s="31"/>
    </row>
    <row r="111" spans="2:14" x14ac:dyDescent="0.25">
      <c r="B111" s="7" t="s">
        <v>65</v>
      </c>
      <c r="H111" s="32" t="s">
        <v>66</v>
      </c>
      <c r="J111" s="33" t="s">
        <v>67</v>
      </c>
    </row>
    <row r="112" spans="2:14" ht="21" x14ac:dyDescent="0.35">
      <c r="B112" s="31" t="s">
        <v>99</v>
      </c>
      <c r="F112" s="35">
        <v>1406219</v>
      </c>
      <c r="G112" s="34" t="s">
        <v>68</v>
      </c>
      <c r="H112" s="45">
        <v>0.03</v>
      </c>
      <c r="I112" s="36" t="s">
        <v>70</v>
      </c>
      <c r="K112" s="37">
        <f>F112*H112</f>
        <v>42186.57</v>
      </c>
    </row>
    <row r="113" spans="2:11" ht="21" x14ac:dyDescent="0.35">
      <c r="B113" s="31" t="s">
        <v>100</v>
      </c>
      <c r="F113" s="35">
        <v>1470079</v>
      </c>
      <c r="G113" s="34" t="s">
        <v>68</v>
      </c>
      <c r="H113" s="45">
        <v>0.12</v>
      </c>
      <c r="I113" s="36" t="s">
        <v>70</v>
      </c>
      <c r="K113" s="37">
        <f t="shared" ref="K113:K117" si="10">F113*H113</f>
        <v>176409.47999999998</v>
      </c>
    </row>
    <row r="114" spans="2:11" ht="21" x14ac:dyDescent="0.35">
      <c r="B114" s="31" t="s">
        <v>101</v>
      </c>
      <c r="F114" s="35">
        <v>1533940</v>
      </c>
      <c r="G114" s="34" t="s">
        <v>68</v>
      </c>
      <c r="H114" s="45">
        <v>0.15</v>
      </c>
      <c r="I114" s="36" t="s">
        <v>70</v>
      </c>
      <c r="K114" s="37">
        <f t="shared" si="10"/>
        <v>230091</v>
      </c>
    </row>
    <row r="115" spans="2:11" ht="21" x14ac:dyDescent="0.35">
      <c r="B115" s="31" t="s">
        <v>102</v>
      </c>
      <c r="F115" s="35">
        <v>1454114</v>
      </c>
      <c r="G115" s="34" t="s">
        <v>68</v>
      </c>
      <c r="H115" s="45">
        <v>7.0000000000000007E-2</v>
      </c>
      <c r="I115" s="36" t="s">
        <v>70</v>
      </c>
      <c r="K115" s="37">
        <f t="shared" si="10"/>
        <v>101787.98000000001</v>
      </c>
    </row>
    <row r="116" spans="2:11" ht="21" x14ac:dyDescent="0.35">
      <c r="B116" s="31" t="s">
        <v>103</v>
      </c>
      <c r="F116" s="35">
        <v>1517975</v>
      </c>
      <c r="G116" s="34" t="s">
        <v>68</v>
      </c>
      <c r="H116" s="45">
        <v>0.28000000000000003</v>
      </c>
      <c r="I116" s="36" t="s">
        <v>70</v>
      </c>
      <c r="K116" s="37">
        <f t="shared" si="10"/>
        <v>425033.00000000006</v>
      </c>
    </row>
    <row r="117" spans="2:11" ht="21" x14ac:dyDescent="0.35">
      <c r="B117" s="31" t="s">
        <v>104</v>
      </c>
      <c r="F117" s="35">
        <v>1581836</v>
      </c>
      <c r="G117" s="34" t="s">
        <v>68</v>
      </c>
      <c r="H117" s="45">
        <v>0.35</v>
      </c>
      <c r="I117" s="36" t="s">
        <v>70</v>
      </c>
      <c r="K117" s="37">
        <f t="shared" si="10"/>
        <v>553642.6</v>
      </c>
    </row>
    <row r="118" spans="2:11" x14ac:dyDescent="0.25">
      <c r="K118" s="38"/>
    </row>
    <row r="119" spans="2:11" ht="15.75" x14ac:dyDescent="0.25">
      <c r="B119" s="39" t="s">
        <v>71</v>
      </c>
      <c r="C119" s="40"/>
      <c r="D119" s="40"/>
      <c r="E119" s="40"/>
      <c r="F119" s="40"/>
      <c r="G119" s="40"/>
      <c r="H119" s="40"/>
      <c r="I119" s="40"/>
      <c r="J119" s="40"/>
      <c r="K119" s="41">
        <f>K112+K113+K114+K115+K116+K117</f>
        <v>1529150.63</v>
      </c>
    </row>
    <row r="121" spans="2:11" x14ac:dyDescent="0.25">
      <c r="H121" s="46">
        <f>SUM(H112:H117)</f>
        <v>1</v>
      </c>
    </row>
    <row r="125" spans="2:11" x14ac:dyDescent="0.25">
      <c r="K125" s="3" t="s">
        <v>59</v>
      </c>
    </row>
  </sheetData>
  <mergeCells count="2">
    <mergeCell ref="A3:N3"/>
    <mergeCell ref="A4:N4"/>
  </mergeCells>
  <phoneticPr fontId="7" type="noConversion"/>
  <pageMargins left="0.25" right="0.25" top="0.75" bottom="0.75" header="0.3" footer="0.3"/>
  <pageSetup scale="80" orientation="landscape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2013-11-20T03:31:47Z</cp:lastPrinted>
  <dcterms:created xsi:type="dcterms:W3CDTF">2012-09-13T02:25:07Z</dcterms:created>
  <dcterms:modified xsi:type="dcterms:W3CDTF">2013-11-20T03:33:40Z</dcterms:modified>
</cp:coreProperties>
</file>