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45" windowWidth="18480" windowHeight="7815" activeTab="1"/>
  </bookViews>
  <sheets>
    <sheet name="Practice Test #1" sheetId="1" r:id="rId1"/>
    <sheet name="Practice Test #2" sheetId="4" r:id="rId2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6" i="4" l="1"/>
  <c r="G106" i="4"/>
  <c r="H106" i="4"/>
  <c r="E106" i="4"/>
  <c r="G104" i="4"/>
  <c r="H104" i="4" s="1"/>
  <c r="F104" i="4"/>
  <c r="E102" i="4"/>
  <c r="F102" i="4" s="1"/>
  <c r="E103" i="4"/>
  <c r="B85" i="4"/>
  <c r="B79" i="4"/>
  <c r="B74" i="4"/>
  <c r="B69" i="4"/>
  <c r="B63" i="4"/>
  <c r="B57" i="4"/>
  <c r="B39" i="4"/>
  <c r="B34" i="4"/>
  <c r="I29" i="4"/>
  <c r="B19" i="4"/>
  <c r="B13" i="4"/>
  <c r="B7" i="4"/>
  <c r="E115" i="4"/>
  <c r="F114" i="4"/>
  <c r="G114" i="4" s="1"/>
  <c r="H114" i="4" s="1"/>
  <c r="F113" i="4"/>
  <c r="G113" i="4" s="1"/>
  <c r="H113" i="4" s="1"/>
  <c r="F112" i="4"/>
  <c r="G112" i="4" s="1"/>
  <c r="H112" i="4" s="1"/>
  <c r="G111" i="4"/>
  <c r="H111" i="4" s="1"/>
  <c r="F111" i="4"/>
  <c r="F110" i="4"/>
  <c r="G110" i="4" s="1"/>
  <c r="F103" i="4"/>
  <c r="G103" i="4" s="1"/>
  <c r="H103" i="4" s="1"/>
  <c r="B92" i="4"/>
  <c r="F105" i="1"/>
  <c r="G105" i="1"/>
  <c r="H105" i="1"/>
  <c r="E105" i="1"/>
  <c r="G104" i="1"/>
  <c r="H104" i="1" s="1"/>
  <c r="F104" i="1"/>
  <c r="B39" i="1"/>
  <c r="E105" i="4" l="1"/>
  <c r="F105" i="4"/>
  <c r="G115" i="4"/>
  <c r="H110" i="4"/>
  <c r="H115" i="4" s="1"/>
  <c r="F107" i="4"/>
  <c r="F117" i="4" s="1"/>
  <c r="G102" i="4"/>
  <c r="F115" i="4"/>
  <c r="F114" i="1"/>
  <c r="G114" i="1" s="1"/>
  <c r="H114" i="1" s="1"/>
  <c r="F113" i="1"/>
  <c r="G113" i="1" s="1"/>
  <c r="H113" i="1" s="1"/>
  <c r="F112" i="1"/>
  <c r="G112" i="1" s="1"/>
  <c r="H112" i="1" s="1"/>
  <c r="F111" i="1"/>
  <c r="G111" i="1" s="1"/>
  <c r="H111" i="1" s="1"/>
  <c r="E115" i="1"/>
  <c r="F110" i="1"/>
  <c r="E103" i="1"/>
  <c r="F103" i="1" s="1"/>
  <c r="E102" i="1"/>
  <c r="F102" i="1" s="1"/>
  <c r="G102" i="1" s="1"/>
  <c r="B85" i="1"/>
  <c r="B79" i="1"/>
  <c r="B74" i="1"/>
  <c r="B69" i="1"/>
  <c r="B63" i="1"/>
  <c r="B57" i="1"/>
  <c r="B34" i="1"/>
  <c r="I29" i="1"/>
  <c r="B19" i="1"/>
  <c r="B13" i="1"/>
  <c r="B7" i="1"/>
  <c r="E107" i="4" l="1"/>
  <c r="E117" i="4" s="1"/>
  <c r="H102" i="4"/>
  <c r="H105" i="4" s="1"/>
  <c r="G105" i="4"/>
  <c r="F115" i="1"/>
  <c r="E106" i="1"/>
  <c r="G103" i="1"/>
  <c r="H103" i="1" s="1"/>
  <c r="H102" i="1"/>
  <c r="G110" i="1"/>
  <c r="B92" i="1"/>
  <c r="G107" i="4" l="1"/>
  <c r="G117" i="4" s="1"/>
  <c r="H107" i="4"/>
  <c r="H117" i="4" s="1"/>
  <c r="E107" i="1"/>
  <c r="E117" i="1" s="1"/>
  <c r="H106" i="1"/>
  <c r="H107" i="1" s="1"/>
  <c r="H117" i="1" s="1"/>
  <c r="H110" i="1"/>
  <c r="H115" i="1" s="1"/>
  <c r="G115" i="1"/>
  <c r="F106" i="1"/>
  <c r="F107" i="1" s="1"/>
  <c r="F117" i="1" s="1"/>
  <c r="G106" i="1" l="1"/>
  <c r="G107" i="1" s="1"/>
  <c r="G117" i="1" s="1"/>
</calcChain>
</file>

<file path=xl/sharedStrings.xml><?xml version="1.0" encoding="utf-8"?>
<sst xmlns="http://schemas.openxmlformats.org/spreadsheetml/2006/main" count="248" uniqueCount="123">
  <si>
    <t>Year Three</t>
  </si>
  <si>
    <t>Year Four</t>
  </si>
  <si>
    <t>Output = IRR ("intenral rate of return")</t>
  </si>
  <si>
    <t xml:space="preserve">Year 0 </t>
  </si>
  <si>
    <t>BE SURE TO ROUND % ANSWER TO NEAREST TENTH</t>
  </si>
  <si>
    <t xml:space="preserve">NO input required for "Guess" in function box. 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</si>
  <si>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</si>
  <si>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</si>
  <si>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</si>
  <si>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</si>
  <si>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</si>
  <si>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</si>
  <si>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</si>
  <si>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Input the purchase price as a negative number, $ going out . </t>
  </si>
  <si>
    <t xml:space="preserve">Inputs: </t>
  </si>
  <si>
    <t>#3</t>
  </si>
  <si>
    <t>Output = PMT "monthly payment"</t>
  </si>
  <si>
    <t>REMEMBER: FOR ALL LOANS, DO MONTHLY</t>
  </si>
  <si>
    <t>#4</t>
  </si>
  <si>
    <t>#5</t>
  </si>
  <si>
    <t>Inputs:</t>
  </si>
  <si>
    <t>#7</t>
  </si>
  <si>
    <t>#6</t>
  </si>
  <si>
    <t>#8</t>
  </si>
  <si>
    <t>Output = PV  "how much can you borrow", loan amount</t>
  </si>
  <si>
    <t>Dividing by 12 converts annual payment to monthly payment</t>
  </si>
  <si>
    <t>Output = NPV ("net present value")</t>
  </si>
  <si>
    <t>Input:</t>
  </si>
  <si>
    <t>Year One</t>
  </si>
  <si>
    <t>Year Two</t>
  </si>
  <si>
    <t>NOTE: *35% allocates annual income to annual payment</t>
  </si>
  <si>
    <t>Year 4</t>
  </si>
  <si>
    <t xml:space="preserve">     Multiply each year annual gross income by 6%</t>
  </si>
  <si>
    <t>Note: Before the clock starts (time 0), you buy the property for $875,000.</t>
  </si>
  <si>
    <t>If you understand these problems, you'll do great on Spring Midterm #1.</t>
  </si>
  <si>
    <t xml:space="preserve">Output = FV   "inflation-adjusted value when you reach the age of 65 years" </t>
  </si>
  <si>
    <t>#1A</t>
  </si>
  <si>
    <t>#1B</t>
  </si>
  <si>
    <t xml:space="preserve"> </t>
  </si>
  <si>
    <t>DETERMINE TARGET RETIREMENT INCOME</t>
  </si>
  <si>
    <t>DETERMINE TARGET RETIREMENT SAVINGS</t>
  </si>
  <si>
    <t>Output = PV  "How much savings "       (Note this question assumes you are now 65 years old, so "present" is now Year 40.)</t>
  </si>
  <si>
    <t>NOTICE: PER YEAR always is a PMT</t>
  </si>
  <si>
    <t xml:space="preserve"> n = 40 years (65-25);  PV = $15,000 ("current value . . . In today's dollars"); rate = 3% ("inflation rate")</t>
  </si>
  <si>
    <t>#1C</t>
  </si>
  <si>
    <t>DETERMINE REQUIRED ANNUAL SAVINGS</t>
  </si>
  <si>
    <t>Output = PMT  ("how much must be saved each year")</t>
  </si>
  <si>
    <t xml:space="preserve">Inputs: FV = $673,527  "(target retirement savings goal)"; n = 40 years (65 - 25); rate = 6% </t>
  </si>
  <si>
    <t>#2A</t>
  </si>
  <si>
    <t>Salary at retirement</t>
  </si>
  <si>
    <t>Annual Retirement Payment</t>
  </si>
  <si>
    <t>No Excel Financial Functions required this first part, just multiply the "salary at retirement" by 70%.</t>
  </si>
  <si>
    <t xml:space="preserve">  X  70%</t>
  </si>
  <si>
    <t>#2B</t>
  </si>
  <si>
    <t>Output = PV "how much must the company have saved"</t>
  </si>
  <si>
    <t>PMT = $42,000 ("annual payment"); rate = 6%; n = 19 years (83 - 64)</t>
  </si>
  <si>
    <t>#2C</t>
  </si>
  <si>
    <t>Output = PMT "how much must the company deposit every year"</t>
  </si>
  <si>
    <t>FV = $468,641 ("savings target"); n = 30 years ("will have worked 30 years at the company"); rate = 6%</t>
  </si>
  <si>
    <t>NOTICE: EVERY YEAR = PMT</t>
  </si>
  <si>
    <t>#2D</t>
  </si>
  <si>
    <t>Fixed Benefit Annual Cost</t>
  </si>
  <si>
    <t>No Excel Financial Functions required this first part, just subtract $2,000 from the fixed annual benefit cost ("how much must the company deposit every year").</t>
  </si>
  <si>
    <t>less $2,000</t>
  </si>
  <si>
    <t xml:space="preserve">#2 BONUS </t>
  </si>
  <si>
    <t>The significant change in this scenario is that the company will have to pay the emploee $42,000 for 28 years (83 - 55) rather than 19 years.</t>
  </si>
  <si>
    <t>PMT = $42,000 ("annual payment"); rate = 6%; n = 28 years (83 - 55)</t>
  </si>
  <si>
    <t>The first step is to recalculate the change in the total amount that must be saved by the company.</t>
  </si>
  <si>
    <t xml:space="preserve">The second step is to recalculate the annual amount that must be saved to attain this savings target. </t>
  </si>
  <si>
    <t>THEREFORE, the company must save $7,122 per year to meet its obligatioins.</t>
  </si>
  <si>
    <t xml:space="preserve">PV = $350,000 (loan amount); rate = 3.5%/12; n = 30*12 </t>
  </si>
  <si>
    <t>Output = PV "how much should an investor pay"; always assumes the investor will buy the bond today.</t>
  </si>
  <si>
    <t>FV = $20,000; rate = 7%; n = 16 years; PMT = $1,000</t>
  </si>
  <si>
    <t>PMT = $95,000 per year * 35% / 12;</t>
  </si>
  <si>
    <t xml:space="preserve">rate = 3.9%/12; n = 15*12    </t>
  </si>
  <si>
    <t>Rate = 8%</t>
  </si>
  <si>
    <t xml:space="preserve">4th year income includes income from operations of $99,000 </t>
  </si>
  <si>
    <t xml:space="preserve">    + $880,000 from proceeds of selling property  =  $979,000</t>
  </si>
  <si>
    <t>Business Statistics Mr. Nelson 1/1/2013</t>
  </si>
  <si>
    <r>
      <t xml:space="preserve">    </t>
    </r>
    <r>
      <rPr>
        <b/>
        <sz val="11"/>
        <rFont val="Calibri"/>
        <family val="2"/>
        <scheme val="minor"/>
      </rPr>
      <t>One-Bedroom Units</t>
    </r>
  </si>
  <si>
    <t xml:space="preserve">    Two-Bedroom Units</t>
  </si>
  <si>
    <t xml:space="preserve">     Total</t>
  </si>
  <si>
    <t xml:space="preserve">    Total</t>
  </si>
  <si>
    <t xml:space="preserve">      Increase each year gross income 7% by multiplying by 1.07</t>
  </si>
  <si>
    <t xml:space="preserve">     Subtract vacancy and collection loss from annual gross income for each year</t>
  </si>
  <si>
    <t xml:space="preserve">     Real Estate Taxes</t>
  </si>
  <si>
    <t xml:space="preserve">      Increase each year expense 2% by multiplying by 1.02</t>
  </si>
  <si>
    <t xml:space="preserve">     Insurance</t>
  </si>
  <si>
    <t xml:space="preserve">     Utilties</t>
  </si>
  <si>
    <t xml:space="preserve">     Maintenance</t>
  </si>
  <si>
    <t xml:space="preserve">     Reserves/Other</t>
  </si>
  <si>
    <t xml:space="preserve">      Increase each year expense 6% by multiplying by 1.06</t>
  </si>
  <si>
    <t xml:space="preserve">      Increase each year expense 7% by multiplying by 1.07</t>
  </si>
  <si>
    <t xml:space="preserve">      Increase each year expense 4% by multiplying by 1.04</t>
  </si>
  <si>
    <t xml:space="preserve">      Add the five sources of  expenses for each year.</t>
  </si>
  <si>
    <t xml:space="preserve">     Subtract total expenses from effective gross income for each year</t>
  </si>
  <si>
    <t xml:space="preserve">    Vacancy &amp; Collection Loss (6%)</t>
  </si>
  <si>
    <t xml:space="preserve">     Laundry income</t>
  </si>
  <si>
    <t xml:space="preserve">      Add the three sources of income</t>
  </si>
  <si>
    <t xml:space="preserve">      Increase each year gross income 5% by multiplying by 1.05</t>
  </si>
  <si>
    <t>Inputs: PMT = $48,931 ("target income per year"); n = 30 ("you plan to live another 30 years'); rate = 6%</t>
  </si>
  <si>
    <t>FV = $563,059 ("savings target"); n = 30 years ("will have worked 30 years at the company"); rate = 6%</t>
  </si>
  <si>
    <t xml:space="preserve"> n = 42 years (70-28);  PV = $35,000 ("current value . . . In today's dollars"); rate = 3% ("inflation rate")</t>
  </si>
  <si>
    <t>Inputs: PMT = $121,124 ("target income per year"); n = 20 ("you plan to live another 20 years'); rate = 6%</t>
  </si>
  <si>
    <t xml:space="preserve">Output = FV   "inflation-adjusted value when you reach the age of 70 years" </t>
  </si>
  <si>
    <t>Output = PV  "How much savings "       (Note this question assumes you are now 70 years old, so "present" is now Year 42.)</t>
  </si>
  <si>
    <t xml:space="preserve">Inputs: FV = $1,389,283  "(target retirement savings goal)"; n = 42 years (70 - 28); rate = 6% </t>
  </si>
  <si>
    <t>PMT = $52,500 ("annual payment"); rate = 7%; n = 23 years (87 - 64)</t>
  </si>
  <si>
    <t>FV = $591,790 ("savings target"); n = 30 years ("will have worked 30 years at the company"); rate = 7%</t>
  </si>
  <si>
    <t>The significant change in this scenario is that the company will have to pay the emploee $52,500 for 32 years (87 - 55) rather than 23 years.</t>
  </si>
  <si>
    <t>PMT = $52,500 ("annual payment"); rate = 7%; n = 32 years (87 - 55)</t>
  </si>
  <si>
    <t>FV = $663,944 ("savings target"); n = 30 years ("will have worked 30 years at the company"); rate = 7%</t>
  </si>
  <si>
    <t>THEREFORE, the company must save $7,029 per year to meet its obligatioins.</t>
  </si>
  <si>
    <t xml:space="preserve">PV = $450,000 (loan amount); rate = 3.5%/12; n = 30*12 </t>
  </si>
  <si>
    <t>FV = $20,000; rate = 5%; n = 12 years; PMT = $1,200</t>
  </si>
  <si>
    <t>PMT = $85,000 per year * 35% / 12;</t>
  </si>
  <si>
    <t xml:space="preserve">rate = 3.5%/12; n = 15*12    </t>
  </si>
  <si>
    <t xml:space="preserve">4th year income includes income from operations of $79,000 </t>
  </si>
  <si>
    <t xml:space="preserve">    + $780,000 from proceeds of selling property  =  $859,000</t>
  </si>
  <si>
    <t>Rate = 9%</t>
  </si>
  <si>
    <t>Note: Before the clock starts (time 0), you buy the property for $750,000.</t>
  </si>
  <si>
    <t xml:space="preserve">      Increase each year gross income 4% by multiplying by 1.04</t>
  </si>
  <si>
    <t xml:space="preserve">     Multiply each year annual gross income by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</si>
</sst>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0" fillId="0" borderId="0" xfId="1" applyNumberFormat="1" applyFont="1"/>
    <xf numFmtId="0" fontId="6" fillId="0" borderId="0" xfId="0" applyFont="1"/>
    <xf numFmtId="0" fontId="9" fillId="0" borderId="0" xfId="0" applyFont="1"/>
    <xf numFmtId="164" fontId="8" fillId="0" borderId="0" xfId="0" applyNumberFormat="1" applyFont="1"/>
    <xf numFmtId="6" fontId="10" fillId="0" borderId="0" xfId="0" applyNumberFormat="1" applyFont="1" applyAlignment="1">
      <alignment vertical="center"/>
    </xf>
    <xf numFmtId="6" fontId="10" fillId="0" borderId="0" xfId="0" applyNumberFormat="1" applyFont="1"/>
    <xf numFmtId="0" fontId="10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1" applyNumberFormat="1" applyFont="1"/>
    <xf numFmtId="8" fontId="3" fillId="0" borderId="0" xfId="0" applyNumberFormat="1" applyFont="1"/>
    <xf numFmtId="6" fontId="3" fillId="0" borderId="0" xfId="0" applyNumberFormat="1" applyFont="1" applyAlignment="1">
      <alignment horizontal="center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8" fontId="13" fillId="0" borderId="0" xfId="0" applyNumberFormat="1" applyFont="1"/>
    <xf numFmtId="165" fontId="13" fillId="0" borderId="0" xfId="0" applyNumberFormat="1" applyFont="1"/>
    <xf numFmtId="6" fontId="1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3871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4" name="Straight Arrow Connector 3"/>
        <xdr:cNvCxnSpPr/>
      </xdr:nvCxnSpPr>
      <xdr:spPr>
        <a:xfrm>
          <a:off x="672353" y="13222941"/>
          <a:ext cx="9984441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5" name="TextBox 4"/>
        <xdr:cNvSpPr txBox="1"/>
      </xdr:nvSpPr>
      <xdr:spPr>
        <a:xfrm>
          <a:off x="4628031" y="12360086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7" name="Straight Arrow Connector 6"/>
        <xdr:cNvCxnSpPr/>
      </xdr:nvCxnSpPr>
      <xdr:spPr>
        <a:xfrm>
          <a:off x="1490382" y="1324535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14" name="TextBox 13"/>
        <xdr:cNvSpPr txBox="1"/>
      </xdr:nvSpPr>
      <xdr:spPr>
        <a:xfrm>
          <a:off x="5939118" y="134246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15" name="TextBox 14"/>
        <xdr:cNvSpPr txBox="1"/>
      </xdr:nvSpPr>
      <xdr:spPr>
        <a:xfrm>
          <a:off x="9083488" y="1344257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70;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16" name="TextBox 15"/>
        <xdr:cNvSpPr txBox="1"/>
      </xdr:nvSpPr>
      <xdr:spPr>
        <a:xfrm>
          <a:off x="1145241" y="1346050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17" name="Straight Arrow Connector 16"/>
        <xdr:cNvCxnSpPr/>
      </xdr:nvCxnSpPr>
      <xdr:spPr>
        <a:xfrm>
          <a:off x="6387353" y="1320053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20" name="Straight Arrow Connector 19"/>
        <xdr:cNvCxnSpPr/>
      </xdr:nvCxnSpPr>
      <xdr:spPr>
        <a:xfrm>
          <a:off x="9525000" y="13211736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21" name="TextBox 20"/>
        <xdr:cNvSpPr txBox="1"/>
      </xdr:nvSpPr>
      <xdr:spPr>
        <a:xfrm>
          <a:off x="1546411" y="12841941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$4,352</a:t>
          </a:r>
          <a:r>
            <a:rPr lang="en-US" sz="1200" b="1" baseline="0">
              <a:solidFill>
                <a:srgbClr val="FF0000"/>
              </a:solidFill>
            </a:rPr>
            <a:t> per year from year 0 through year 40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22" name="Right Arrow 21"/>
        <xdr:cNvSpPr/>
      </xdr:nvSpPr>
      <xdr:spPr>
        <a:xfrm>
          <a:off x="5177117" y="12897970"/>
          <a:ext cx="593912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44822</xdr:colOff>
      <xdr:row>21</xdr:row>
      <xdr:rowOff>291353</xdr:rowOff>
    </xdr:from>
    <xdr:ext cx="1239122" cy="468077"/>
    <xdr:sp macro="" textlink="">
      <xdr:nvSpPr>
        <xdr:cNvPr id="23" name="TextBox 22"/>
        <xdr:cNvSpPr txBox="1"/>
      </xdr:nvSpPr>
      <xdr:spPr>
        <a:xfrm>
          <a:off x="5860675" y="12707471"/>
          <a:ext cx="123912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$673,527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40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24" name="Right Arrow 23"/>
        <xdr:cNvSpPr/>
      </xdr:nvSpPr>
      <xdr:spPr>
        <a:xfrm>
          <a:off x="7126940" y="12864353"/>
          <a:ext cx="39220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451187</xdr:colOff>
      <xdr:row>21</xdr:row>
      <xdr:rowOff>280147</xdr:rowOff>
    </xdr:from>
    <xdr:ext cx="2712409" cy="468077"/>
    <xdr:sp macro="" textlink="">
      <xdr:nvSpPr>
        <xdr:cNvPr id="25" name="TextBox 24"/>
        <xdr:cNvSpPr txBox="1"/>
      </xdr:nvSpPr>
      <xdr:spPr>
        <a:xfrm>
          <a:off x="7454863" y="12696265"/>
          <a:ext cx="2712409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$48,931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30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26" name="Straight Arrow Connector 25"/>
        <xdr:cNvCxnSpPr/>
      </xdr:nvCxnSpPr>
      <xdr:spPr>
        <a:xfrm flipV="1">
          <a:off x="616323" y="3294529"/>
          <a:ext cx="9928412" cy="11207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27" name="TextBox 26"/>
        <xdr:cNvSpPr txBox="1"/>
      </xdr:nvSpPr>
      <xdr:spPr>
        <a:xfrm>
          <a:off x="997323" y="34626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28" name="Straight Arrow Connector 27"/>
        <xdr:cNvCxnSpPr/>
      </xdr:nvCxnSpPr>
      <xdr:spPr>
        <a:xfrm>
          <a:off x="1467971" y="3238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29" name="TextBox 28"/>
        <xdr:cNvSpPr txBox="1"/>
      </xdr:nvSpPr>
      <xdr:spPr>
        <a:xfrm>
          <a:off x="5927912" y="349623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30" name="Straight Arrow Connector 29"/>
        <xdr:cNvCxnSpPr/>
      </xdr:nvCxnSpPr>
      <xdr:spPr>
        <a:xfrm>
          <a:off x="6398559" y="3238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341234</xdr:colOff>
      <xdr:row>8</xdr:row>
      <xdr:rowOff>717177</xdr:rowOff>
    </xdr:from>
    <xdr:ext cx="1094530" cy="280205"/>
    <xdr:sp macro="" textlink="">
      <xdr:nvSpPr>
        <xdr:cNvPr id="31" name="TextBox 30"/>
        <xdr:cNvSpPr txBox="1"/>
      </xdr:nvSpPr>
      <xdr:spPr>
        <a:xfrm>
          <a:off x="935146" y="2835089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$15,000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32" name="TextBox 31"/>
        <xdr:cNvSpPr txBox="1"/>
      </xdr:nvSpPr>
      <xdr:spPr>
        <a:xfrm>
          <a:off x="5765576" y="2678206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$48,931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33" name="Right Arrow 32"/>
        <xdr:cNvSpPr/>
      </xdr:nvSpPr>
      <xdr:spPr>
        <a:xfrm>
          <a:off x="2129116" y="2902324"/>
          <a:ext cx="3653119" cy="168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34" name="TextBox 33"/>
        <xdr:cNvSpPr txBox="1"/>
      </xdr:nvSpPr>
      <xdr:spPr>
        <a:xfrm>
          <a:off x="2532621" y="2442883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3%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35" name="Straight Arrow Connector 34"/>
        <xdr:cNvCxnSpPr/>
      </xdr:nvCxnSpPr>
      <xdr:spPr>
        <a:xfrm flipV="1">
          <a:off x="605118" y="6465794"/>
          <a:ext cx="9917206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14</xdr:row>
      <xdr:rowOff>1075764</xdr:rowOff>
    </xdr:from>
    <xdr:to>
      <xdr:col>9</xdr:col>
      <xdr:colOff>1</xdr:colOff>
      <xdr:row>14</xdr:row>
      <xdr:rowOff>1367117</xdr:rowOff>
    </xdr:to>
    <xdr:cxnSp macro="">
      <xdr:nvCxnSpPr>
        <xdr:cNvPr id="36" name="Straight Arrow Connector 35"/>
        <xdr:cNvCxnSpPr/>
      </xdr:nvCxnSpPr>
      <xdr:spPr>
        <a:xfrm>
          <a:off x="6409766" y="591670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37" name="TextBox 36"/>
        <xdr:cNvSpPr txBox="1"/>
      </xdr:nvSpPr>
      <xdr:spPr>
        <a:xfrm>
          <a:off x="5860676" y="6185646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761531</xdr:colOff>
      <xdr:row>14</xdr:row>
      <xdr:rowOff>560294</xdr:rowOff>
    </xdr:from>
    <xdr:ext cx="3740063" cy="499367"/>
    <xdr:sp macro="" textlink="">
      <xdr:nvSpPr>
        <xdr:cNvPr id="38" name="TextBox 37"/>
        <xdr:cNvSpPr txBox="1"/>
      </xdr:nvSpPr>
      <xdr:spPr>
        <a:xfrm>
          <a:off x="1355443" y="5401235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65,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39" name="TextBox 38"/>
        <xdr:cNvSpPr txBox="1"/>
      </xdr:nvSpPr>
      <xdr:spPr>
        <a:xfrm>
          <a:off x="9087972" y="617444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</a:t>
          </a:r>
        </a:p>
        <a:p>
          <a:r>
            <a:rPr lang="en-US" sz="1600" b="1" baseline="0">
              <a:solidFill>
                <a:srgbClr val="7030A0"/>
              </a:solidFill>
            </a:rPr>
            <a:t>age 95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40" name="Straight Arrow Connector 39"/>
        <xdr:cNvCxnSpPr/>
      </xdr:nvCxnSpPr>
      <xdr:spPr>
        <a:xfrm>
          <a:off x="9547413" y="5939117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89645</xdr:colOff>
      <xdr:row>14</xdr:row>
      <xdr:rowOff>549089</xdr:rowOff>
    </xdr:from>
    <xdr:ext cx="1327223" cy="468077"/>
    <xdr:sp macro="" textlink="">
      <xdr:nvSpPr>
        <xdr:cNvPr id="41" name="TextBox 40"/>
        <xdr:cNvSpPr txBox="1"/>
      </xdr:nvSpPr>
      <xdr:spPr>
        <a:xfrm>
          <a:off x="8875057" y="5468471"/>
          <a:ext cx="132722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$48,931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69693</xdr:colOff>
      <xdr:row>14</xdr:row>
      <xdr:rowOff>526676</xdr:rowOff>
    </xdr:from>
    <xdr:ext cx="1122936" cy="468077"/>
    <xdr:sp macro="" textlink="">
      <xdr:nvSpPr>
        <xdr:cNvPr id="42" name="TextBox 41"/>
        <xdr:cNvSpPr txBox="1"/>
      </xdr:nvSpPr>
      <xdr:spPr>
        <a:xfrm>
          <a:off x="5885546" y="5446058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$673,527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43" name="Right Arrow 42"/>
        <xdr:cNvSpPr/>
      </xdr:nvSpPr>
      <xdr:spPr>
        <a:xfrm flipH="1">
          <a:off x="7082117" y="5692588"/>
          <a:ext cx="1826558" cy="1904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44" name="Straight Arrow Connector 43"/>
        <xdr:cNvCxnSpPr/>
      </xdr:nvCxnSpPr>
      <xdr:spPr>
        <a:xfrm flipV="1">
          <a:off x="571500" y="10343029"/>
          <a:ext cx="10051676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45" name="TextBox 44"/>
        <xdr:cNvSpPr txBox="1"/>
      </xdr:nvSpPr>
      <xdr:spPr>
        <a:xfrm>
          <a:off x="5948342" y="8449235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$673,527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0</xdr:colOff>
      <xdr:row>20</xdr:row>
      <xdr:rowOff>1210235</xdr:rowOff>
    </xdr:from>
    <xdr:to>
      <xdr:col>9</xdr:col>
      <xdr:colOff>0</xdr:colOff>
      <xdr:row>20</xdr:row>
      <xdr:rowOff>1501588</xdr:rowOff>
    </xdr:to>
    <xdr:cxnSp macro="">
      <xdr:nvCxnSpPr>
        <xdr:cNvPr id="46" name="Straight Arrow Connector 45"/>
        <xdr:cNvCxnSpPr/>
      </xdr:nvCxnSpPr>
      <xdr:spPr>
        <a:xfrm>
          <a:off x="6409765" y="9031941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2265" cy="593239"/>
    <xdr:sp macro="" textlink="">
      <xdr:nvSpPr>
        <xdr:cNvPr id="47" name="TextBox 46"/>
        <xdr:cNvSpPr txBox="1"/>
      </xdr:nvSpPr>
      <xdr:spPr>
        <a:xfrm>
          <a:off x="5927911" y="9334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48" name="Straight Arrow Connector 47"/>
        <xdr:cNvCxnSpPr/>
      </xdr:nvCxnSpPr>
      <xdr:spPr>
        <a:xfrm>
          <a:off x="1378324" y="911038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49" name="TextBox 48"/>
        <xdr:cNvSpPr txBox="1"/>
      </xdr:nvSpPr>
      <xdr:spPr>
        <a:xfrm>
          <a:off x="952501" y="94241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151192</xdr:colOff>
      <xdr:row>20</xdr:row>
      <xdr:rowOff>739589</xdr:rowOff>
    </xdr:from>
    <xdr:ext cx="2459199" cy="280205"/>
    <xdr:sp macro="" textlink="">
      <xdr:nvSpPr>
        <xdr:cNvPr id="50" name="TextBox 49"/>
        <xdr:cNvSpPr txBox="1"/>
      </xdr:nvSpPr>
      <xdr:spPr>
        <a:xfrm>
          <a:off x="1820868" y="8639736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$4,352</a:t>
          </a:r>
          <a:r>
            <a:rPr lang="en-US" sz="1200" b="1" baseline="0">
              <a:solidFill>
                <a:srgbClr val="FF0000"/>
              </a:solidFill>
            </a:rPr>
            <a:t> saved each year for 40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51" name="Right Arrow 50"/>
        <xdr:cNvSpPr/>
      </xdr:nvSpPr>
      <xdr:spPr>
        <a:xfrm flipH="1">
          <a:off x="4258235" y="8684558"/>
          <a:ext cx="1736912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56" name="Straight Arrow Connector 55"/>
        <xdr:cNvCxnSpPr/>
      </xdr:nvCxnSpPr>
      <xdr:spPr>
        <a:xfrm flipV="1">
          <a:off x="336176" y="18097501"/>
          <a:ext cx="10074089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57" name="Straight Arrow Connector 56"/>
        <xdr:cNvCxnSpPr/>
      </xdr:nvCxnSpPr>
      <xdr:spPr>
        <a:xfrm>
          <a:off x="6387353" y="1809750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58" name="TextBox 57"/>
        <xdr:cNvSpPr txBox="1"/>
      </xdr:nvSpPr>
      <xdr:spPr>
        <a:xfrm>
          <a:off x="5950322" y="1838885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59" name="TextBox 58"/>
        <xdr:cNvSpPr txBox="1"/>
      </xdr:nvSpPr>
      <xdr:spPr>
        <a:xfrm>
          <a:off x="413887" y="17615647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30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60" name="TextBox 59"/>
        <xdr:cNvSpPr txBox="1"/>
      </xdr:nvSpPr>
      <xdr:spPr>
        <a:xfrm>
          <a:off x="9065559" y="1838885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19;</a:t>
          </a:r>
        </a:p>
        <a:p>
          <a:r>
            <a:rPr lang="en-US" sz="1600" b="1" baseline="0">
              <a:solidFill>
                <a:srgbClr val="7030A0"/>
              </a:solidFill>
            </a:rPr>
            <a:t>age 83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61" name="Straight Arrow Connector 60"/>
        <xdr:cNvCxnSpPr/>
      </xdr:nvCxnSpPr>
      <xdr:spPr>
        <a:xfrm>
          <a:off x="9525000" y="1811991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174289</xdr:colOff>
      <xdr:row>35</xdr:row>
      <xdr:rowOff>582707</xdr:rowOff>
    </xdr:from>
    <xdr:ext cx="1292406" cy="468077"/>
    <xdr:sp macro="" textlink="">
      <xdr:nvSpPr>
        <xdr:cNvPr id="62" name="TextBox 61"/>
        <xdr:cNvSpPr txBox="1"/>
      </xdr:nvSpPr>
      <xdr:spPr>
        <a:xfrm>
          <a:off x="8018407" y="17604442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$42,000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19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63" name="TextBox 62"/>
        <xdr:cNvSpPr txBox="1"/>
      </xdr:nvSpPr>
      <xdr:spPr>
        <a:xfrm>
          <a:off x="5829516" y="17615646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$468,641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64" name="Right Arrow 63"/>
        <xdr:cNvSpPr/>
      </xdr:nvSpPr>
      <xdr:spPr>
        <a:xfrm flipH="1">
          <a:off x="7070911" y="17794943"/>
          <a:ext cx="885266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66" name="Straight Arrow Connector 65"/>
        <xdr:cNvCxnSpPr/>
      </xdr:nvCxnSpPr>
      <xdr:spPr>
        <a:xfrm flipV="1">
          <a:off x="347383" y="21167911"/>
          <a:ext cx="10051676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67" name="TextBox 66"/>
        <xdr:cNvSpPr txBox="1"/>
      </xdr:nvSpPr>
      <xdr:spPr>
        <a:xfrm>
          <a:off x="5813872" y="20630029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$468,641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68" name="Straight Arrow Connector 67"/>
        <xdr:cNvCxnSpPr/>
      </xdr:nvCxnSpPr>
      <xdr:spPr>
        <a:xfrm>
          <a:off x="6432177" y="2121273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69" name="TextBox 68"/>
        <xdr:cNvSpPr txBox="1"/>
      </xdr:nvSpPr>
      <xdr:spPr>
        <a:xfrm>
          <a:off x="5793441" y="2151529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70" name="Straight Arrow Connector 69"/>
        <xdr:cNvCxnSpPr/>
      </xdr:nvCxnSpPr>
      <xdr:spPr>
        <a:xfrm>
          <a:off x="1154207" y="2121273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71" name="TextBox 70"/>
        <xdr:cNvSpPr txBox="1"/>
      </xdr:nvSpPr>
      <xdr:spPr>
        <a:xfrm>
          <a:off x="728384" y="21526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1002839</xdr:colOff>
      <xdr:row>41</xdr:row>
      <xdr:rowOff>582707</xdr:rowOff>
    </xdr:from>
    <xdr:ext cx="2459199" cy="280205"/>
    <xdr:sp macro="" textlink="">
      <xdr:nvSpPr>
        <xdr:cNvPr id="72" name="TextBox 71"/>
        <xdr:cNvSpPr txBox="1"/>
      </xdr:nvSpPr>
      <xdr:spPr>
        <a:xfrm>
          <a:off x="1596751" y="20898972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$5,928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73" name="Right Arrow 72"/>
        <xdr:cNvSpPr/>
      </xdr:nvSpPr>
      <xdr:spPr>
        <a:xfrm flipH="1">
          <a:off x="4034118" y="20786911"/>
          <a:ext cx="1826559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762000</xdr:colOff>
      <xdr:row>79</xdr:row>
      <xdr:rowOff>112059</xdr:rowOff>
    </xdr:from>
    <xdr:to>
      <xdr:col>7</xdr:col>
      <xdr:colOff>22411</xdr:colOff>
      <xdr:row>79</xdr:row>
      <xdr:rowOff>123265</xdr:rowOff>
    </xdr:to>
    <xdr:cxnSp macro="">
      <xdr:nvCxnSpPr>
        <xdr:cNvPr id="65" name="Straight Arrow Connector 64"/>
        <xdr:cNvCxnSpPr/>
      </xdr:nvCxnSpPr>
      <xdr:spPr>
        <a:xfrm>
          <a:off x="4359088" y="30580853"/>
          <a:ext cx="851647" cy="11206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89647</xdr:colOff>
      <xdr:row>87</xdr:row>
      <xdr:rowOff>134470</xdr:rowOff>
    </xdr:from>
    <xdr:to>
      <xdr:col>7</xdr:col>
      <xdr:colOff>33617</xdr:colOff>
      <xdr:row>88</xdr:row>
      <xdr:rowOff>100853</xdr:rowOff>
    </xdr:to>
    <xdr:cxnSp macro="">
      <xdr:nvCxnSpPr>
        <xdr:cNvPr id="74" name="Straight Arrow Connector 73"/>
        <xdr:cNvCxnSpPr/>
      </xdr:nvCxnSpPr>
      <xdr:spPr>
        <a:xfrm flipV="1">
          <a:off x="4538382" y="32284146"/>
          <a:ext cx="683559" cy="156883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840441</xdr:colOff>
      <xdr:row>92</xdr:row>
      <xdr:rowOff>67235</xdr:rowOff>
    </xdr:from>
    <xdr:to>
      <xdr:col>7</xdr:col>
      <xdr:colOff>11205</xdr:colOff>
      <xdr:row>92</xdr:row>
      <xdr:rowOff>134470</xdr:rowOff>
    </xdr:to>
    <xdr:cxnSp macro="">
      <xdr:nvCxnSpPr>
        <xdr:cNvPr id="75" name="Straight Arrow Connector 74"/>
        <xdr:cNvCxnSpPr/>
      </xdr:nvCxnSpPr>
      <xdr:spPr>
        <a:xfrm flipV="1">
          <a:off x="4437529" y="33292676"/>
          <a:ext cx="762000" cy="6723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0509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3" name="Straight Arrow Connector 2"/>
        <xdr:cNvCxnSpPr/>
      </xdr:nvCxnSpPr>
      <xdr:spPr>
        <a:xfrm>
          <a:off x="668991" y="13198848"/>
          <a:ext cx="9959788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4" name="TextBox 3"/>
        <xdr:cNvSpPr txBox="1"/>
      </xdr:nvSpPr>
      <xdr:spPr>
        <a:xfrm>
          <a:off x="4617946" y="12335993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5" name="Straight Arrow Connector 4"/>
        <xdr:cNvCxnSpPr/>
      </xdr:nvCxnSpPr>
      <xdr:spPr>
        <a:xfrm>
          <a:off x="1487020" y="132212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6" name="TextBox 5"/>
        <xdr:cNvSpPr txBox="1"/>
      </xdr:nvSpPr>
      <xdr:spPr>
        <a:xfrm>
          <a:off x="6185647" y="134246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7" name="TextBox 6"/>
        <xdr:cNvSpPr txBox="1"/>
      </xdr:nvSpPr>
      <xdr:spPr>
        <a:xfrm>
          <a:off x="9486900" y="1344257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62;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8" name="TextBox 7"/>
        <xdr:cNvSpPr txBox="1"/>
      </xdr:nvSpPr>
      <xdr:spPr>
        <a:xfrm>
          <a:off x="1145241" y="1346050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9" name="Straight Arrow Connector 8"/>
        <xdr:cNvCxnSpPr/>
      </xdr:nvCxnSpPr>
      <xdr:spPr>
        <a:xfrm>
          <a:off x="6467475" y="13176437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10" name="Straight Arrow Connector 9"/>
        <xdr:cNvCxnSpPr/>
      </xdr:nvCxnSpPr>
      <xdr:spPr>
        <a:xfrm>
          <a:off x="9746876" y="1318764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11" name="TextBox 10"/>
        <xdr:cNvSpPr txBox="1"/>
      </xdr:nvSpPr>
      <xdr:spPr>
        <a:xfrm>
          <a:off x="1546411" y="12841941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$7,896</a:t>
          </a:r>
          <a:r>
            <a:rPr lang="en-US" sz="1200" b="1" baseline="0">
              <a:solidFill>
                <a:srgbClr val="FF0000"/>
              </a:solidFill>
            </a:rPr>
            <a:t> per year from year 0 through year 42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12" name="Right Arrow 11"/>
        <xdr:cNvSpPr/>
      </xdr:nvSpPr>
      <xdr:spPr>
        <a:xfrm>
          <a:off x="5167032" y="12873877"/>
          <a:ext cx="597273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548</xdr:colOff>
      <xdr:row>21</xdr:row>
      <xdr:rowOff>291353</xdr:rowOff>
    </xdr:from>
    <xdr:ext cx="1327672" cy="468077"/>
    <xdr:sp macro="" textlink="">
      <xdr:nvSpPr>
        <xdr:cNvPr id="13" name="TextBox 12"/>
        <xdr:cNvSpPr txBox="1"/>
      </xdr:nvSpPr>
      <xdr:spPr>
        <a:xfrm>
          <a:off x="6062930" y="12707471"/>
          <a:ext cx="132767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$1,389,283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42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14" name="Right Arrow 13"/>
        <xdr:cNvSpPr/>
      </xdr:nvSpPr>
      <xdr:spPr>
        <a:xfrm>
          <a:off x="7362264" y="12840260"/>
          <a:ext cx="39220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429611</xdr:colOff>
      <xdr:row>21</xdr:row>
      <xdr:rowOff>280147</xdr:rowOff>
    </xdr:from>
    <xdr:ext cx="2755563" cy="468077"/>
    <xdr:sp macro="" textlink="">
      <xdr:nvSpPr>
        <xdr:cNvPr id="15" name="TextBox 14"/>
        <xdr:cNvSpPr txBox="1"/>
      </xdr:nvSpPr>
      <xdr:spPr>
        <a:xfrm>
          <a:off x="7836699" y="12696265"/>
          <a:ext cx="275556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$121,124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20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16" name="Straight Arrow Connector 15"/>
        <xdr:cNvCxnSpPr/>
      </xdr:nvCxnSpPr>
      <xdr:spPr>
        <a:xfrm flipV="1">
          <a:off x="612961" y="3288926"/>
          <a:ext cx="10060642" cy="11207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17" name="TextBox 16"/>
        <xdr:cNvSpPr txBox="1"/>
      </xdr:nvSpPr>
      <xdr:spPr>
        <a:xfrm>
          <a:off x="997323" y="3541059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18" name="Straight Arrow Connector 17"/>
        <xdr:cNvCxnSpPr/>
      </xdr:nvCxnSpPr>
      <xdr:spPr>
        <a:xfrm>
          <a:off x="1464609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19" name="TextBox 18"/>
        <xdr:cNvSpPr txBox="1"/>
      </xdr:nvSpPr>
      <xdr:spPr>
        <a:xfrm>
          <a:off x="6017559" y="357467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20" name="Straight Arrow Connector 19"/>
        <xdr:cNvCxnSpPr/>
      </xdr:nvCxnSpPr>
      <xdr:spPr>
        <a:xfrm>
          <a:off x="6478681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341234</xdr:colOff>
      <xdr:row>8</xdr:row>
      <xdr:rowOff>717177</xdr:rowOff>
    </xdr:from>
    <xdr:ext cx="1094530" cy="280205"/>
    <xdr:sp macro="" textlink="">
      <xdr:nvSpPr>
        <xdr:cNvPr id="21" name="TextBox 20"/>
        <xdr:cNvSpPr txBox="1"/>
      </xdr:nvSpPr>
      <xdr:spPr>
        <a:xfrm>
          <a:off x="935146" y="2913530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$35,000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22" name="TextBox 21"/>
        <xdr:cNvSpPr txBox="1"/>
      </xdr:nvSpPr>
      <xdr:spPr>
        <a:xfrm>
          <a:off x="5758852" y="2751044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$121,124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23" name="Right Arrow 22"/>
        <xdr:cNvSpPr/>
      </xdr:nvSpPr>
      <xdr:spPr>
        <a:xfrm>
          <a:off x="2126315" y="2975162"/>
          <a:ext cx="3649196" cy="168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24" name="TextBox 23"/>
        <xdr:cNvSpPr txBox="1"/>
      </xdr:nvSpPr>
      <xdr:spPr>
        <a:xfrm>
          <a:off x="2526458" y="2515721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3%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25" name="Straight Arrow Connector 24"/>
        <xdr:cNvCxnSpPr/>
      </xdr:nvCxnSpPr>
      <xdr:spPr>
        <a:xfrm flipV="1">
          <a:off x="601756" y="6457390"/>
          <a:ext cx="10049436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560295</xdr:colOff>
      <xdr:row>14</xdr:row>
      <xdr:rowOff>1098176</xdr:rowOff>
    </xdr:from>
    <xdr:to>
      <xdr:col>8</xdr:col>
      <xdr:colOff>560295</xdr:colOff>
      <xdr:row>14</xdr:row>
      <xdr:rowOff>1389529</xdr:rowOff>
    </xdr:to>
    <xdr:cxnSp macro="">
      <xdr:nvCxnSpPr>
        <xdr:cNvPr id="26" name="Straight Arrow Connector 25"/>
        <xdr:cNvCxnSpPr/>
      </xdr:nvCxnSpPr>
      <xdr:spPr>
        <a:xfrm>
          <a:off x="6622677" y="648820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27" name="TextBox 26"/>
        <xdr:cNvSpPr txBox="1"/>
      </xdr:nvSpPr>
      <xdr:spPr>
        <a:xfrm>
          <a:off x="5950323" y="673473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761532</xdr:colOff>
      <xdr:row>14</xdr:row>
      <xdr:rowOff>560294</xdr:rowOff>
    </xdr:from>
    <xdr:ext cx="3740063" cy="499367"/>
    <xdr:sp macro="" textlink="">
      <xdr:nvSpPr>
        <xdr:cNvPr id="28" name="TextBox 27"/>
        <xdr:cNvSpPr txBox="1"/>
      </xdr:nvSpPr>
      <xdr:spPr>
        <a:xfrm>
          <a:off x="1355444" y="5950323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70,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29" name="TextBox 28"/>
        <xdr:cNvSpPr txBox="1"/>
      </xdr:nvSpPr>
      <xdr:spPr>
        <a:xfrm>
          <a:off x="9334501" y="672352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20;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30" name="Straight Arrow Connector 29"/>
        <xdr:cNvCxnSpPr/>
      </xdr:nvCxnSpPr>
      <xdr:spPr>
        <a:xfrm>
          <a:off x="9769289" y="6479801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68070</xdr:colOff>
      <xdr:row>14</xdr:row>
      <xdr:rowOff>549089</xdr:rowOff>
    </xdr:from>
    <xdr:ext cx="1370376" cy="468077"/>
    <xdr:sp macro="" textlink="">
      <xdr:nvSpPr>
        <xdr:cNvPr id="31" name="TextBox 30"/>
        <xdr:cNvSpPr txBox="1"/>
      </xdr:nvSpPr>
      <xdr:spPr>
        <a:xfrm>
          <a:off x="9100011" y="5939118"/>
          <a:ext cx="137037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$121,124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20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2457</xdr:colOff>
      <xdr:row>14</xdr:row>
      <xdr:rowOff>537882</xdr:rowOff>
    </xdr:from>
    <xdr:ext cx="1122936" cy="468077"/>
    <xdr:sp macro="" textlink="">
      <xdr:nvSpPr>
        <xdr:cNvPr id="32" name="TextBox 31"/>
        <xdr:cNvSpPr txBox="1"/>
      </xdr:nvSpPr>
      <xdr:spPr>
        <a:xfrm>
          <a:off x="6064839" y="59279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$1,389,283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33" name="Right Arrow 32"/>
        <xdr:cNvSpPr/>
      </xdr:nvSpPr>
      <xdr:spPr>
        <a:xfrm flipH="1">
          <a:off x="7317441" y="6154831"/>
          <a:ext cx="1816472" cy="1904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34" name="Straight Arrow Connector 33"/>
        <xdr:cNvCxnSpPr/>
      </xdr:nvCxnSpPr>
      <xdr:spPr>
        <a:xfrm flipV="1">
          <a:off x="571500" y="10318936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35" name="TextBox 34"/>
        <xdr:cNvSpPr txBox="1"/>
      </xdr:nvSpPr>
      <xdr:spPr>
        <a:xfrm>
          <a:off x="6028464" y="9781054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$1,389,283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571500</xdr:colOff>
      <xdr:row>20</xdr:row>
      <xdr:rowOff>1210235</xdr:rowOff>
    </xdr:from>
    <xdr:to>
      <xdr:col>8</xdr:col>
      <xdr:colOff>571500</xdr:colOff>
      <xdr:row>20</xdr:row>
      <xdr:rowOff>1501588</xdr:rowOff>
    </xdr:to>
    <xdr:cxnSp macro="">
      <xdr:nvCxnSpPr>
        <xdr:cNvPr id="36" name="Straight Arrow Connector 35"/>
        <xdr:cNvCxnSpPr/>
      </xdr:nvCxnSpPr>
      <xdr:spPr>
        <a:xfrm>
          <a:off x="6633882" y="1038785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2265" cy="593239"/>
    <xdr:sp macro="" textlink="">
      <xdr:nvSpPr>
        <xdr:cNvPr id="37" name="TextBox 36"/>
        <xdr:cNvSpPr txBox="1"/>
      </xdr:nvSpPr>
      <xdr:spPr>
        <a:xfrm>
          <a:off x="6174440" y="1069041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38" name="Straight Arrow Connector 37"/>
        <xdr:cNvCxnSpPr/>
      </xdr:nvCxnSpPr>
      <xdr:spPr>
        <a:xfrm>
          <a:off x="1374962" y="103637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39" name="TextBox 38"/>
        <xdr:cNvSpPr txBox="1"/>
      </xdr:nvSpPr>
      <xdr:spPr>
        <a:xfrm>
          <a:off x="952501" y="107016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151192</xdr:colOff>
      <xdr:row>20</xdr:row>
      <xdr:rowOff>739589</xdr:rowOff>
    </xdr:from>
    <xdr:ext cx="2459199" cy="280205"/>
    <xdr:sp macro="" textlink="">
      <xdr:nvSpPr>
        <xdr:cNvPr id="40" name="TextBox 39"/>
        <xdr:cNvSpPr txBox="1"/>
      </xdr:nvSpPr>
      <xdr:spPr>
        <a:xfrm>
          <a:off x="1977751" y="9917207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$7,896</a:t>
          </a:r>
          <a:r>
            <a:rPr lang="en-US" sz="1200" b="1" baseline="0">
              <a:solidFill>
                <a:srgbClr val="FF0000"/>
              </a:solidFill>
            </a:rPr>
            <a:t> saved each year for 42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41" name="Right Arrow 40"/>
        <xdr:cNvSpPr/>
      </xdr:nvSpPr>
      <xdr:spPr>
        <a:xfrm flipH="1">
          <a:off x="4252072" y="9937936"/>
          <a:ext cx="1823197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42" name="Straight Arrow Connector 41"/>
        <xdr:cNvCxnSpPr/>
      </xdr:nvCxnSpPr>
      <xdr:spPr>
        <a:xfrm flipV="1">
          <a:off x="336176" y="18140083"/>
          <a:ext cx="10046074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43" name="Straight Arrow Connector 42"/>
        <xdr:cNvCxnSpPr/>
      </xdr:nvCxnSpPr>
      <xdr:spPr>
        <a:xfrm>
          <a:off x="6377828" y="1814008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44" name="TextBox 43"/>
        <xdr:cNvSpPr txBox="1"/>
      </xdr:nvSpPr>
      <xdr:spPr>
        <a:xfrm>
          <a:off x="5940797" y="1839781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45" name="TextBox 44"/>
        <xdr:cNvSpPr txBox="1"/>
      </xdr:nvSpPr>
      <xdr:spPr>
        <a:xfrm>
          <a:off x="413887" y="17624612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30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46" name="TextBox 45"/>
        <xdr:cNvSpPr txBox="1"/>
      </xdr:nvSpPr>
      <xdr:spPr>
        <a:xfrm>
          <a:off x="9222442" y="18433676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23;</a:t>
          </a:r>
        </a:p>
        <a:p>
          <a:r>
            <a:rPr lang="en-US" sz="1600" b="1" baseline="0">
              <a:solidFill>
                <a:srgbClr val="7030A0"/>
              </a:solidFill>
            </a:rPr>
            <a:t>age 87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47" name="Straight Arrow Connector 46"/>
        <xdr:cNvCxnSpPr/>
      </xdr:nvCxnSpPr>
      <xdr:spPr>
        <a:xfrm>
          <a:off x="9503709" y="18162494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174291</xdr:colOff>
      <xdr:row>35</xdr:row>
      <xdr:rowOff>582707</xdr:rowOff>
    </xdr:from>
    <xdr:ext cx="1292406" cy="468077"/>
    <xdr:sp macro="" textlink="">
      <xdr:nvSpPr>
        <xdr:cNvPr id="48" name="TextBox 47"/>
        <xdr:cNvSpPr txBox="1"/>
      </xdr:nvSpPr>
      <xdr:spPr>
        <a:xfrm>
          <a:off x="8175291" y="17649266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$52,500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23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49" name="TextBox 48"/>
        <xdr:cNvSpPr txBox="1"/>
      </xdr:nvSpPr>
      <xdr:spPr>
        <a:xfrm>
          <a:off x="5822792" y="176246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$591,790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50" name="Right Arrow 49"/>
        <xdr:cNvSpPr/>
      </xdr:nvSpPr>
      <xdr:spPr>
        <a:xfrm flipH="1">
          <a:off x="7063067" y="17803908"/>
          <a:ext cx="878542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51" name="Straight Arrow Connector 50"/>
        <xdr:cNvCxnSpPr/>
      </xdr:nvCxnSpPr>
      <xdr:spPr>
        <a:xfrm flipV="1">
          <a:off x="347383" y="21287254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52" name="TextBox 51"/>
        <xdr:cNvSpPr txBox="1"/>
      </xdr:nvSpPr>
      <xdr:spPr>
        <a:xfrm>
          <a:off x="5807148" y="20749372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$591,790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53" name="Straight Arrow Connector 52"/>
        <xdr:cNvCxnSpPr/>
      </xdr:nvCxnSpPr>
      <xdr:spPr>
        <a:xfrm>
          <a:off x="6422652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54" name="TextBox 53"/>
        <xdr:cNvSpPr txBox="1"/>
      </xdr:nvSpPr>
      <xdr:spPr>
        <a:xfrm>
          <a:off x="5786717" y="2163463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55" name="Straight Arrow Connector 54"/>
        <xdr:cNvCxnSpPr/>
      </xdr:nvCxnSpPr>
      <xdr:spPr>
        <a:xfrm>
          <a:off x="1150845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56" name="TextBox 55"/>
        <xdr:cNvSpPr txBox="1"/>
      </xdr:nvSpPr>
      <xdr:spPr>
        <a:xfrm>
          <a:off x="725022" y="21645843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34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1002839</xdr:colOff>
      <xdr:row>41</xdr:row>
      <xdr:rowOff>582707</xdr:rowOff>
    </xdr:from>
    <xdr:ext cx="2459199" cy="280205"/>
    <xdr:sp macro="" textlink="">
      <xdr:nvSpPr>
        <xdr:cNvPr id="57" name="TextBox 56"/>
        <xdr:cNvSpPr txBox="1"/>
      </xdr:nvSpPr>
      <xdr:spPr>
        <a:xfrm>
          <a:off x="1596751" y="20898972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$6,265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58" name="Right Arrow 57"/>
        <xdr:cNvSpPr/>
      </xdr:nvSpPr>
      <xdr:spPr>
        <a:xfrm flipH="1">
          <a:off x="4027955" y="20906254"/>
          <a:ext cx="1825998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750794</xdr:colOff>
      <xdr:row>79</xdr:row>
      <xdr:rowOff>112059</xdr:rowOff>
    </xdr:from>
    <xdr:to>
      <xdr:col>7</xdr:col>
      <xdr:colOff>11206</xdr:colOff>
      <xdr:row>79</xdr:row>
      <xdr:rowOff>123265</xdr:rowOff>
    </xdr:to>
    <xdr:cxnSp macro="">
      <xdr:nvCxnSpPr>
        <xdr:cNvPr id="60" name="Straight Arrow Connector 59"/>
        <xdr:cNvCxnSpPr/>
      </xdr:nvCxnSpPr>
      <xdr:spPr>
        <a:xfrm>
          <a:off x="4504765" y="30580853"/>
          <a:ext cx="851647" cy="11206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44823</xdr:colOff>
      <xdr:row>87</xdr:row>
      <xdr:rowOff>168089</xdr:rowOff>
    </xdr:from>
    <xdr:to>
      <xdr:col>6</xdr:col>
      <xdr:colOff>728382</xdr:colOff>
      <xdr:row>88</xdr:row>
      <xdr:rowOff>134472</xdr:rowOff>
    </xdr:to>
    <xdr:cxnSp macro="">
      <xdr:nvCxnSpPr>
        <xdr:cNvPr id="61" name="Straight Arrow Connector 60"/>
        <xdr:cNvCxnSpPr/>
      </xdr:nvCxnSpPr>
      <xdr:spPr>
        <a:xfrm flipV="1">
          <a:off x="4650441" y="32317765"/>
          <a:ext cx="683559" cy="156883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11206</xdr:colOff>
      <xdr:row>92</xdr:row>
      <xdr:rowOff>33618</xdr:rowOff>
    </xdr:from>
    <xdr:to>
      <xdr:col>7</xdr:col>
      <xdr:colOff>33618</xdr:colOff>
      <xdr:row>92</xdr:row>
      <xdr:rowOff>100853</xdr:rowOff>
    </xdr:to>
    <xdr:cxnSp macro="">
      <xdr:nvCxnSpPr>
        <xdr:cNvPr id="65" name="Straight Arrow Connector 64"/>
        <xdr:cNvCxnSpPr/>
      </xdr:nvCxnSpPr>
      <xdr:spPr>
        <a:xfrm flipV="1">
          <a:off x="4616824" y="33259059"/>
          <a:ext cx="762000" cy="6723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O130"/>
  <sheetViews>
    <sheetView topLeftCell="A70" zoomScale="85" zoomScaleNormal="85" zoomScaleSheetLayoutView="80" workbookViewId="0">
      <selection activeCell="N94" sqref="N94"/>
    </sheetView>
  </sheetViews>
  <sheetFormatPr defaultColWidth="8.85546875" defaultRowHeight="15" x14ac:dyDescent="0.25"/>
  <cols>
    <col min="1" max="1" width="8.85546875" style="4"/>
    <col min="2" max="2" width="16.1406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9" max="9" width="11.28515625" customWidth="1"/>
  </cols>
  <sheetData>
    <row r="1" spans="1:13" ht="38.25" customHeight="1" x14ac:dyDescent="0.25"/>
    <row r="3" spans="1:13" ht="15.75" x14ac:dyDescent="0.25">
      <c r="A3" s="3" t="s">
        <v>34</v>
      </c>
    </row>
    <row r="5" spans="1:13" ht="21" x14ac:dyDescent="0.35">
      <c r="A5" s="13" t="s">
        <v>36</v>
      </c>
      <c r="B5" s="4" t="s">
        <v>39</v>
      </c>
    </row>
    <row r="6" spans="1:13" x14ac:dyDescent="0.25">
      <c r="C6" t="s">
        <v>35</v>
      </c>
    </row>
    <row r="7" spans="1:13" ht="37.5" customHeight="1" x14ac:dyDescent="0.25">
      <c r="B7" s="11">
        <f>FV(3%,40,,15000)</f>
        <v>-48930.56687998608</v>
      </c>
    </row>
    <row r="8" spans="1:13" x14ac:dyDescent="0.25">
      <c r="C8" t="s">
        <v>14</v>
      </c>
      <c r="D8" t="s">
        <v>43</v>
      </c>
    </row>
    <row r="9" spans="1:13" ht="163.5" customHeight="1" x14ac:dyDescent="0.25"/>
    <row r="11" spans="1:13" ht="21" x14ac:dyDescent="0.35">
      <c r="A11" s="13" t="s">
        <v>37</v>
      </c>
      <c r="B11" s="4" t="s">
        <v>40</v>
      </c>
    </row>
    <row r="12" spans="1:13" x14ac:dyDescent="0.25">
      <c r="B12" t="s">
        <v>38</v>
      </c>
      <c r="C12" t="s">
        <v>41</v>
      </c>
    </row>
    <row r="13" spans="1:13" ht="21" x14ac:dyDescent="0.35">
      <c r="B13" s="12">
        <f>PV(6%,30,48931)</f>
        <v>-673526.95307352929</v>
      </c>
    </row>
    <row r="14" spans="1:13" ht="15.75" x14ac:dyDescent="0.25">
      <c r="C14" t="s">
        <v>100</v>
      </c>
      <c r="M14" s="3" t="s">
        <v>42</v>
      </c>
    </row>
    <row r="15" spans="1:13" ht="152.25" customHeight="1" x14ac:dyDescent="0.25">
      <c r="B15" s="1"/>
    </row>
    <row r="16" spans="1:13" ht="72" customHeight="1" x14ac:dyDescent="0.25">
      <c r="B16" s="1"/>
      <c r="M16" s="4" t="s">
        <v>78</v>
      </c>
    </row>
    <row r="17" spans="1:13" ht="21" x14ac:dyDescent="0.35">
      <c r="A17" s="13" t="s">
        <v>44</v>
      </c>
      <c r="B17" s="4" t="s">
        <v>45</v>
      </c>
    </row>
    <row r="18" spans="1:13" ht="15.75" x14ac:dyDescent="0.25">
      <c r="C18" t="s">
        <v>46</v>
      </c>
      <c r="I18" s="3" t="s">
        <v>42</v>
      </c>
    </row>
    <row r="19" spans="1:13" ht="21" x14ac:dyDescent="0.35">
      <c r="B19" s="12">
        <f>PMT(6%,40,,673527)</f>
        <v>-4352.0189040448186</v>
      </c>
    </row>
    <row r="20" spans="1:13" x14ac:dyDescent="0.25">
      <c r="C20" t="s">
        <v>47</v>
      </c>
    </row>
    <row r="21" spans="1:13" ht="255" customHeight="1" x14ac:dyDescent="0.25">
      <c r="B21" s="9"/>
      <c r="C21" s="9"/>
      <c r="D21" s="9"/>
      <c r="E21" s="9"/>
      <c r="F21" s="9"/>
    </row>
    <row r="22" spans="1:13" ht="13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35">
      <c r="A25" s="13" t="s">
        <v>48</v>
      </c>
      <c r="B25" t="s">
        <v>51</v>
      </c>
    </row>
    <row r="26" spans="1:13" ht="15.75" customHeight="1" x14ac:dyDescent="0.25"/>
    <row r="27" spans="1:13" ht="15.75" customHeight="1" x14ac:dyDescent="0.3">
      <c r="F27" s="2" t="s">
        <v>49</v>
      </c>
      <c r="G27" s="2"/>
      <c r="H27" s="2"/>
      <c r="I27" s="14">
        <v>60000</v>
      </c>
    </row>
    <row r="28" spans="1:13" ht="15.75" customHeight="1" x14ac:dyDescent="0.3">
      <c r="F28" s="2"/>
      <c r="G28" s="2"/>
      <c r="H28" s="2"/>
      <c r="I28" s="15" t="s">
        <v>52</v>
      </c>
    </row>
    <row r="29" spans="1:13" ht="15.75" customHeight="1" x14ac:dyDescent="0.3">
      <c r="F29" s="2" t="s">
        <v>50</v>
      </c>
      <c r="G29" s="2"/>
      <c r="H29" s="2"/>
      <c r="I29" s="16">
        <f>60000*70%</f>
        <v>42000</v>
      </c>
    </row>
    <row r="30" spans="1:13" ht="15.75" customHeight="1" x14ac:dyDescent="0.25"/>
    <row r="31" spans="1:13" ht="15.75" customHeight="1" x14ac:dyDescent="0.25"/>
    <row r="32" spans="1:13" ht="33" customHeight="1" x14ac:dyDescent="0.25">
      <c r="M32" s="4" t="s">
        <v>78</v>
      </c>
    </row>
    <row r="33" spans="1:10" ht="21" x14ac:dyDescent="0.35">
      <c r="A33" s="13" t="s">
        <v>53</v>
      </c>
      <c r="C33" t="s">
        <v>54</v>
      </c>
    </row>
    <row r="34" spans="1:10" ht="18.75" x14ac:dyDescent="0.3">
      <c r="B34" s="14">
        <f>PV(6%,19,42000)</f>
        <v>-468640.89265052543</v>
      </c>
    </row>
    <row r="35" spans="1:10" x14ac:dyDescent="0.25">
      <c r="C35" t="s">
        <v>14</v>
      </c>
      <c r="D35" t="s">
        <v>55</v>
      </c>
    </row>
    <row r="36" spans="1:10" ht="170.25" customHeight="1" x14ac:dyDescent="0.25"/>
    <row r="38" spans="1:10" ht="21" x14ac:dyDescent="0.35">
      <c r="A38" s="13" t="s">
        <v>56</v>
      </c>
      <c r="C38" t="s">
        <v>57</v>
      </c>
      <c r="J38" s="3" t="s">
        <v>59</v>
      </c>
    </row>
    <row r="39" spans="1:10" ht="18.75" x14ac:dyDescent="0.3">
      <c r="B39" s="14">
        <f>PMT(6%,30,,468641)</f>
        <v>-5927.7985296072184</v>
      </c>
    </row>
    <row r="40" spans="1:10" x14ac:dyDescent="0.25">
      <c r="C40" t="s">
        <v>14</v>
      </c>
      <c r="D40" t="s">
        <v>58</v>
      </c>
    </row>
    <row r="41" spans="1:10" ht="15.75" x14ac:dyDescent="0.25">
      <c r="I41" s="3"/>
    </row>
    <row r="42" spans="1:10" ht="169.5" customHeight="1" x14ac:dyDescent="0.25"/>
    <row r="44" spans="1:10" ht="21" x14ac:dyDescent="0.35">
      <c r="A44" s="13" t="s">
        <v>60</v>
      </c>
      <c r="B44" t="s">
        <v>62</v>
      </c>
      <c r="I44" s="3"/>
    </row>
    <row r="45" spans="1:10" x14ac:dyDescent="0.25">
      <c r="B45" s="1"/>
    </row>
    <row r="46" spans="1:10" ht="18.75" x14ac:dyDescent="0.3">
      <c r="F46" s="2" t="s">
        <v>61</v>
      </c>
      <c r="G46" s="2"/>
      <c r="H46" s="2"/>
      <c r="I46" s="14">
        <v>5928</v>
      </c>
    </row>
    <row r="47" spans="1:10" ht="18.75" x14ac:dyDescent="0.3">
      <c r="F47" s="2"/>
      <c r="G47" s="2"/>
      <c r="H47" s="2"/>
      <c r="I47" s="18" t="s">
        <v>63</v>
      </c>
    </row>
    <row r="48" spans="1:10" ht="18.75" x14ac:dyDescent="0.3">
      <c r="F48" s="2" t="s">
        <v>50</v>
      </c>
      <c r="G48" s="2"/>
      <c r="H48" s="2"/>
      <c r="I48" s="16">
        <v>3928</v>
      </c>
    </row>
    <row r="52" spans="1:13" x14ac:dyDescent="0.25">
      <c r="M52" s="4" t="s">
        <v>78</v>
      </c>
    </row>
    <row r="53" spans="1:13" ht="21" x14ac:dyDescent="0.35">
      <c r="A53" s="13" t="s">
        <v>64</v>
      </c>
      <c r="C53" t="s">
        <v>65</v>
      </c>
    </row>
    <row r="54" spans="1:13" ht="18.75" x14ac:dyDescent="0.3">
      <c r="B54" s="1"/>
      <c r="C54" s="2" t="s">
        <v>67</v>
      </c>
    </row>
    <row r="56" spans="1:13" x14ac:dyDescent="0.25">
      <c r="C56" t="s">
        <v>54</v>
      </c>
    </row>
    <row r="57" spans="1:13" ht="18.75" x14ac:dyDescent="0.3">
      <c r="A57"/>
      <c r="B57" s="14">
        <f>PV(6%,28,42000)</f>
        <v>-563058.89983616793</v>
      </c>
    </row>
    <row r="58" spans="1:13" x14ac:dyDescent="0.25">
      <c r="A58"/>
      <c r="C58" t="s">
        <v>14</v>
      </c>
      <c r="D58" t="s">
        <v>66</v>
      </c>
    </row>
    <row r="59" spans="1:13" x14ac:dyDescent="0.25">
      <c r="A59"/>
    </row>
    <row r="60" spans="1:13" ht="18.75" x14ac:dyDescent="0.3">
      <c r="A60"/>
      <c r="C60" s="2" t="s">
        <v>68</v>
      </c>
    </row>
    <row r="61" spans="1:13" ht="18.75" x14ac:dyDescent="0.3">
      <c r="A61"/>
      <c r="C61" s="2"/>
    </row>
    <row r="62" spans="1:13" ht="15.75" x14ac:dyDescent="0.25">
      <c r="A62"/>
      <c r="C62" t="s">
        <v>57</v>
      </c>
      <c r="J62" s="3" t="s">
        <v>59</v>
      </c>
    </row>
    <row r="63" spans="1:13" ht="18.75" x14ac:dyDescent="0.3">
      <c r="A63"/>
      <c r="B63" s="14">
        <f>PMT(6%,30,,563059)</f>
        <v>-7122.0834546744982</v>
      </c>
    </row>
    <row r="64" spans="1:13" x14ac:dyDescent="0.25">
      <c r="C64" t="s">
        <v>14</v>
      </c>
      <c r="D64" t="s">
        <v>101</v>
      </c>
    </row>
    <row r="65" spans="1:13" ht="18.75" x14ac:dyDescent="0.3">
      <c r="C65" s="22" t="s">
        <v>69</v>
      </c>
    </row>
    <row r="68" spans="1:13" ht="21" x14ac:dyDescent="0.35">
      <c r="A68" s="13" t="s">
        <v>15</v>
      </c>
      <c r="C68" t="s">
        <v>16</v>
      </c>
      <c r="I68" s="2" t="s">
        <v>17</v>
      </c>
    </row>
    <row r="69" spans="1:13" ht="18.75" x14ac:dyDescent="0.3">
      <c r="B69" s="14">
        <f>PMT(3.5%/12,30*12,350000)</f>
        <v>-1571.6564073308855</v>
      </c>
    </row>
    <row r="70" spans="1:13" x14ac:dyDescent="0.25">
      <c r="C70" t="s">
        <v>14</v>
      </c>
      <c r="D70" t="s">
        <v>70</v>
      </c>
    </row>
    <row r="73" spans="1:13" ht="21" x14ac:dyDescent="0.35">
      <c r="A73" s="13" t="s">
        <v>18</v>
      </c>
      <c r="C73" t="s">
        <v>71</v>
      </c>
    </row>
    <row r="74" spans="1:13" ht="18.75" x14ac:dyDescent="0.3">
      <c r="B74" s="17">
        <f>PV(7%,16,1000,20000)</f>
        <v>-16221.340558837701</v>
      </c>
    </row>
    <row r="75" spans="1:13" x14ac:dyDescent="0.25">
      <c r="C75" t="s">
        <v>20</v>
      </c>
      <c r="D75" t="s">
        <v>72</v>
      </c>
    </row>
    <row r="77" spans="1:13" ht="15.75" x14ac:dyDescent="0.25">
      <c r="K77" s="3"/>
      <c r="L77" s="3"/>
      <c r="M77" s="3"/>
    </row>
    <row r="78" spans="1:13" ht="21" x14ac:dyDescent="0.35">
      <c r="A78" s="13" t="s">
        <v>19</v>
      </c>
      <c r="C78" t="s">
        <v>24</v>
      </c>
      <c r="K78" s="5"/>
      <c r="L78" s="5"/>
      <c r="M78" s="4"/>
    </row>
    <row r="79" spans="1:13" ht="18.75" x14ac:dyDescent="0.3">
      <c r="B79" s="17">
        <f>PV(3.9%/12,15*12,95000*35%/12)</f>
        <v>-377144.88871928724</v>
      </c>
    </row>
    <row r="80" spans="1:13" ht="15.75" x14ac:dyDescent="0.25">
      <c r="C80" t="s">
        <v>20</v>
      </c>
      <c r="D80" t="s">
        <v>73</v>
      </c>
      <c r="H80" s="3" t="s">
        <v>30</v>
      </c>
      <c r="I80" s="3"/>
      <c r="J80" s="3"/>
    </row>
    <row r="81" spans="1:14" ht="15.75" x14ac:dyDescent="0.25">
      <c r="D81" t="s">
        <v>74</v>
      </c>
      <c r="H81" s="3" t="s">
        <v>25</v>
      </c>
      <c r="I81" s="3"/>
      <c r="J81" s="3"/>
    </row>
    <row r="82" spans="1:14" ht="15.75" x14ac:dyDescent="0.25">
      <c r="H82" s="3"/>
      <c r="I82" s="3"/>
      <c r="J82" s="3"/>
    </row>
    <row r="83" spans="1:14" x14ac:dyDescent="0.25">
      <c r="H83" s="5"/>
      <c r="I83" s="5"/>
      <c r="J83" s="5"/>
    </row>
    <row r="84" spans="1:14" ht="21" x14ac:dyDescent="0.35">
      <c r="A84" s="13" t="s">
        <v>22</v>
      </c>
      <c r="C84" t="s">
        <v>26</v>
      </c>
    </row>
    <row r="85" spans="1:14" ht="18.75" x14ac:dyDescent="0.3">
      <c r="B85" s="23">
        <f>NPV(8%,F86:F89)</f>
        <v>944464.67246599321</v>
      </c>
      <c r="K85" s="4"/>
      <c r="L85" s="4"/>
      <c r="M85" s="4"/>
      <c r="N85" s="4"/>
    </row>
    <row r="86" spans="1:14" x14ac:dyDescent="0.25">
      <c r="C86" t="s">
        <v>27</v>
      </c>
      <c r="D86" t="s">
        <v>28</v>
      </c>
      <c r="F86" s="6">
        <v>80000</v>
      </c>
      <c r="H86" t="s">
        <v>75</v>
      </c>
      <c r="K86" s="4"/>
      <c r="L86" s="4"/>
      <c r="M86" s="4"/>
      <c r="N86" s="4"/>
    </row>
    <row r="87" spans="1:14" x14ac:dyDescent="0.25">
      <c r="D87" t="s">
        <v>29</v>
      </c>
      <c r="F87" s="6">
        <v>87000</v>
      </c>
    </row>
    <row r="88" spans="1:14" x14ac:dyDescent="0.25">
      <c r="D88" t="s">
        <v>0</v>
      </c>
      <c r="F88" s="6">
        <v>96000</v>
      </c>
      <c r="H88" s="4" t="s">
        <v>76</v>
      </c>
      <c r="I88" s="4"/>
      <c r="J88" s="4"/>
    </row>
    <row r="89" spans="1:14" x14ac:dyDescent="0.25">
      <c r="D89" t="s">
        <v>1</v>
      </c>
      <c r="F89" s="7">
        <v>979000</v>
      </c>
      <c r="H89" s="4" t="s">
        <v>77</v>
      </c>
      <c r="I89" s="4"/>
      <c r="J89" s="4"/>
    </row>
    <row r="90" spans="1:14" x14ac:dyDescent="0.25">
      <c r="M90" s="4" t="s">
        <v>78</v>
      </c>
    </row>
    <row r="91" spans="1:14" ht="21" x14ac:dyDescent="0.35">
      <c r="A91" s="13" t="s">
        <v>21</v>
      </c>
      <c r="C91" t="s">
        <v>2</v>
      </c>
      <c r="K91" s="4"/>
      <c r="L91" s="4"/>
    </row>
    <row r="92" spans="1:14" ht="18.75" x14ac:dyDescent="0.3">
      <c r="B92" s="24">
        <f>IRR(F93:F97)</f>
        <v>4.1237148400041557E-2</v>
      </c>
      <c r="G92" s="4" t="s">
        <v>33</v>
      </c>
      <c r="K92" s="4"/>
      <c r="L92" s="4"/>
    </row>
    <row r="93" spans="1:14" x14ac:dyDescent="0.25">
      <c r="C93" t="s">
        <v>27</v>
      </c>
      <c r="D93" t="s">
        <v>3</v>
      </c>
      <c r="F93" s="6">
        <v>-1075000</v>
      </c>
      <c r="H93" s="4" t="s">
        <v>13</v>
      </c>
    </row>
    <row r="94" spans="1:14" x14ac:dyDescent="0.25">
      <c r="D94" t="s">
        <v>28</v>
      </c>
      <c r="F94" s="6">
        <v>80000</v>
      </c>
    </row>
    <row r="95" spans="1:14" x14ac:dyDescent="0.25">
      <c r="D95" t="s">
        <v>29</v>
      </c>
      <c r="F95" s="6">
        <v>87000</v>
      </c>
      <c r="H95" s="4" t="s">
        <v>4</v>
      </c>
      <c r="I95" s="4"/>
      <c r="J95" s="4"/>
    </row>
    <row r="96" spans="1:14" x14ac:dyDescent="0.25">
      <c r="D96" t="s">
        <v>0</v>
      </c>
      <c r="F96" s="6">
        <v>96000</v>
      </c>
      <c r="H96" s="4" t="s">
        <v>5</v>
      </c>
      <c r="I96" s="4"/>
      <c r="J96" s="4"/>
    </row>
    <row r="97" spans="1:15" x14ac:dyDescent="0.25">
      <c r="D97" t="s">
        <v>1</v>
      </c>
      <c r="F97" s="7">
        <v>979000</v>
      </c>
      <c r="K97" s="8"/>
      <c r="L97" s="8"/>
      <c r="M97" s="8"/>
      <c r="N97" s="8"/>
      <c r="O97" s="8"/>
    </row>
    <row r="98" spans="1:15" x14ac:dyDescent="0.25">
      <c r="K98" s="8"/>
      <c r="L98" s="8"/>
      <c r="M98" s="8"/>
      <c r="N98" s="8"/>
      <c r="O98" s="8"/>
    </row>
    <row r="99" spans="1:15" x14ac:dyDescent="0.25">
      <c r="K99" s="8"/>
      <c r="L99" s="8"/>
      <c r="M99" s="8"/>
      <c r="N99" s="8"/>
      <c r="O99" s="8"/>
    </row>
    <row r="100" spans="1:15" ht="21" x14ac:dyDescent="0.35">
      <c r="A100" s="13" t="s">
        <v>23</v>
      </c>
      <c r="E100" s="15" t="s">
        <v>6</v>
      </c>
      <c r="F100" s="15" t="s">
        <v>7</v>
      </c>
      <c r="G100" s="15" t="s">
        <v>8</v>
      </c>
      <c r="H100" s="15" t="s">
        <v>31</v>
      </c>
      <c r="K100" s="8"/>
      <c r="L100" s="8"/>
      <c r="M100" s="8"/>
      <c r="N100" s="8"/>
      <c r="O100" s="8"/>
    </row>
    <row r="101" spans="1:15" ht="15.75" x14ac:dyDescent="0.25">
      <c r="B101" s="21" t="s">
        <v>9</v>
      </c>
      <c r="E101" s="6"/>
      <c r="F101" s="6"/>
      <c r="G101" s="6"/>
      <c r="H101" s="10"/>
      <c r="J101" s="8"/>
      <c r="K101" s="8"/>
      <c r="L101" s="8"/>
      <c r="M101" s="8"/>
      <c r="N101" s="8"/>
      <c r="O101" s="8"/>
    </row>
    <row r="102" spans="1:15" ht="15.75" x14ac:dyDescent="0.25">
      <c r="B102" s="9" t="s">
        <v>79</v>
      </c>
      <c r="E102" s="6">
        <f>10*950*12</f>
        <v>114000</v>
      </c>
      <c r="F102" s="6">
        <f>E102*1.07</f>
        <v>121980</v>
      </c>
      <c r="G102" s="6">
        <f t="shared" ref="G102:H102" si="0">F102*1.07</f>
        <v>130518.6</v>
      </c>
      <c r="H102" s="20">
        <f t="shared" si="0"/>
        <v>139654.902</v>
      </c>
      <c r="I102" s="5" t="s">
        <v>83</v>
      </c>
      <c r="J102" s="8"/>
      <c r="K102" s="8"/>
      <c r="L102" s="8"/>
      <c r="M102" s="8"/>
      <c r="N102" s="8"/>
      <c r="O102" s="8"/>
    </row>
    <row r="103" spans="1:15" ht="15.75" x14ac:dyDescent="0.25">
      <c r="B103" s="19" t="s">
        <v>80</v>
      </c>
      <c r="E103" s="6">
        <f>5*1400*12</f>
        <v>84000</v>
      </c>
      <c r="F103" s="6">
        <f>E103*1.07</f>
        <v>89880</v>
      </c>
      <c r="G103" s="6">
        <f t="shared" ref="G103:H103" si="1">F103*1.07</f>
        <v>96171.6</v>
      </c>
      <c r="H103" s="20">
        <f t="shared" si="1"/>
        <v>102903.61200000001</v>
      </c>
      <c r="I103" s="5" t="s">
        <v>83</v>
      </c>
      <c r="J103" s="8"/>
      <c r="K103" s="8"/>
      <c r="L103" s="8"/>
      <c r="M103" s="8"/>
      <c r="N103" s="8"/>
      <c r="O103" s="8"/>
    </row>
    <row r="104" spans="1:15" ht="15.75" x14ac:dyDescent="0.25">
      <c r="B104" s="19" t="s">
        <v>97</v>
      </c>
      <c r="E104" s="6">
        <v>750</v>
      </c>
      <c r="F104" s="6">
        <f>E104*1.05</f>
        <v>787.5</v>
      </c>
      <c r="G104" s="6">
        <f t="shared" ref="G104:H104" si="2">F104*1.05</f>
        <v>826.875</v>
      </c>
      <c r="H104" s="20">
        <f t="shared" si="2"/>
        <v>868.21875</v>
      </c>
      <c r="I104" s="5" t="s">
        <v>99</v>
      </c>
      <c r="J104" s="8"/>
      <c r="K104" s="8"/>
      <c r="L104" s="8"/>
      <c r="M104" s="8"/>
      <c r="N104" s="8"/>
      <c r="O104" s="8"/>
    </row>
    <row r="105" spans="1:15" ht="15.75" x14ac:dyDescent="0.25">
      <c r="B105" s="19" t="s">
        <v>82</v>
      </c>
      <c r="E105" s="6">
        <f>E102+E103+E104</f>
        <v>198750</v>
      </c>
      <c r="F105" s="6">
        <f t="shared" ref="F105:H105" si="3">F102+F103+F104</f>
        <v>212647.5</v>
      </c>
      <c r="G105" s="6">
        <f t="shared" si="3"/>
        <v>227517.07500000001</v>
      </c>
      <c r="H105" s="20">
        <f t="shared" si="3"/>
        <v>243426.73275000002</v>
      </c>
      <c r="I105" s="5" t="s">
        <v>98</v>
      </c>
      <c r="J105" s="8"/>
      <c r="K105" s="8"/>
      <c r="L105" s="8"/>
      <c r="M105" s="8"/>
      <c r="N105" s="8"/>
      <c r="O105" s="8"/>
    </row>
    <row r="106" spans="1:15" ht="15.75" x14ac:dyDescent="0.25">
      <c r="B106" s="19" t="s">
        <v>96</v>
      </c>
      <c r="E106" s="6">
        <f>E105*6%</f>
        <v>11925</v>
      </c>
      <c r="F106" s="6">
        <f t="shared" ref="F106:H106" si="4">F105*6%</f>
        <v>12758.85</v>
      </c>
      <c r="G106" s="6">
        <f t="shared" si="4"/>
        <v>13651.0245</v>
      </c>
      <c r="H106" s="20">
        <f t="shared" si="4"/>
        <v>14605.603965</v>
      </c>
      <c r="I106" s="5" t="s">
        <v>32</v>
      </c>
      <c r="J106" s="8"/>
    </row>
    <row r="107" spans="1:15" ht="15.75" x14ac:dyDescent="0.25">
      <c r="B107" s="21" t="s">
        <v>10</v>
      </c>
      <c r="E107" s="6">
        <f>E105-E106</f>
        <v>186825</v>
      </c>
      <c r="F107" s="6">
        <f t="shared" ref="F107:H107" si="5">F105-F106</f>
        <v>199888.65</v>
      </c>
      <c r="G107" s="6">
        <f t="shared" si="5"/>
        <v>213866.05050000001</v>
      </c>
      <c r="H107" s="20">
        <f t="shared" si="5"/>
        <v>228821.12878500004</v>
      </c>
      <c r="I107" s="5" t="s">
        <v>84</v>
      </c>
      <c r="J107" s="8"/>
    </row>
    <row r="108" spans="1:15" ht="15.75" x14ac:dyDescent="0.25">
      <c r="B108" s="9"/>
      <c r="E108" s="6"/>
      <c r="F108" s="6"/>
      <c r="G108" s="6"/>
      <c r="H108" s="20"/>
      <c r="I108" s="5"/>
      <c r="J108" s="8"/>
    </row>
    <row r="109" spans="1:15" ht="15.75" x14ac:dyDescent="0.25">
      <c r="B109" s="21" t="s">
        <v>11</v>
      </c>
      <c r="E109" s="6"/>
      <c r="F109" s="6"/>
      <c r="G109" s="6"/>
      <c r="H109" s="20"/>
      <c r="I109" s="5"/>
      <c r="J109" s="8"/>
    </row>
    <row r="110" spans="1:15" ht="15.75" x14ac:dyDescent="0.25">
      <c r="B110" s="19" t="s">
        <v>85</v>
      </c>
      <c r="E110" s="6">
        <v>12000</v>
      </c>
      <c r="F110" s="6">
        <f>E110*1.02</f>
        <v>12240</v>
      </c>
      <c r="G110" s="6">
        <f t="shared" ref="G110:H110" si="6">F110*1.02</f>
        <v>12484.800000000001</v>
      </c>
      <c r="H110" s="20">
        <f t="shared" si="6"/>
        <v>12734.496000000001</v>
      </c>
      <c r="I110" s="5" t="s">
        <v>86</v>
      </c>
      <c r="J110" s="8"/>
    </row>
    <row r="111" spans="1:15" ht="15.75" x14ac:dyDescent="0.25">
      <c r="B111" s="19" t="s">
        <v>87</v>
      </c>
      <c r="E111" s="6">
        <v>5000</v>
      </c>
      <c r="F111" s="6">
        <f>E111*1.06</f>
        <v>5300</v>
      </c>
      <c r="G111" s="6">
        <f t="shared" ref="G111:H111" si="7">F111*1.06</f>
        <v>5618</v>
      </c>
      <c r="H111" s="20">
        <f t="shared" si="7"/>
        <v>5955.08</v>
      </c>
      <c r="I111" s="5" t="s">
        <v>91</v>
      </c>
      <c r="J111" s="8"/>
    </row>
    <row r="112" spans="1:15" ht="15.75" x14ac:dyDescent="0.25">
      <c r="B112" s="19" t="s">
        <v>88</v>
      </c>
      <c r="E112" s="6">
        <v>35000</v>
      </c>
      <c r="F112" s="6">
        <f>E112*1.07</f>
        <v>37450</v>
      </c>
      <c r="G112" s="6">
        <f t="shared" ref="G112:H112" si="8">F112*1.07</f>
        <v>40071.5</v>
      </c>
      <c r="H112" s="20">
        <f t="shared" si="8"/>
        <v>42876.505000000005</v>
      </c>
      <c r="I112" s="5" t="s">
        <v>92</v>
      </c>
      <c r="J112" s="8"/>
    </row>
    <row r="113" spans="2:10" ht="15.75" x14ac:dyDescent="0.25">
      <c r="B113" s="19" t="s">
        <v>89</v>
      </c>
      <c r="E113" s="6">
        <v>11000</v>
      </c>
      <c r="F113" s="6">
        <f>E113*1.04</f>
        <v>11440</v>
      </c>
      <c r="G113" s="6">
        <f t="shared" ref="G113:H113" si="9">F113*1.04</f>
        <v>11897.6</v>
      </c>
      <c r="H113" s="20">
        <f t="shared" si="9"/>
        <v>12373.504000000001</v>
      </c>
      <c r="I113" s="5" t="s">
        <v>93</v>
      </c>
      <c r="J113" s="8"/>
    </row>
    <row r="114" spans="2:10" ht="15.75" x14ac:dyDescent="0.25">
      <c r="B114" s="19" t="s">
        <v>90</v>
      </c>
      <c r="E114" s="6">
        <v>4000</v>
      </c>
      <c r="F114" s="6">
        <f>E114*1.04</f>
        <v>4160</v>
      </c>
      <c r="G114" s="6">
        <f t="shared" ref="G114:H114" si="10">F114*1.04</f>
        <v>4326.4000000000005</v>
      </c>
      <c r="H114" s="20">
        <f t="shared" si="10"/>
        <v>4499.456000000001</v>
      </c>
      <c r="I114" s="5" t="s">
        <v>93</v>
      </c>
      <c r="J114" s="8"/>
    </row>
    <row r="115" spans="2:10" ht="15.75" x14ac:dyDescent="0.25">
      <c r="B115" s="19" t="s">
        <v>81</v>
      </c>
      <c r="E115" s="6">
        <f>SUM(E110:E114)</f>
        <v>67000</v>
      </c>
      <c r="F115" s="6">
        <f t="shared" ref="F115:H115" si="11">SUM(F110:F114)</f>
        <v>70590</v>
      </c>
      <c r="G115" s="6">
        <f t="shared" si="11"/>
        <v>74398.3</v>
      </c>
      <c r="H115" s="20">
        <f t="shared" si="11"/>
        <v>78439.041000000012</v>
      </c>
      <c r="I115" s="5" t="s">
        <v>94</v>
      </c>
      <c r="J115" s="8"/>
    </row>
    <row r="116" spans="2:10" ht="15.75" x14ac:dyDescent="0.25">
      <c r="B116" s="19"/>
      <c r="E116" s="6"/>
      <c r="F116" s="6"/>
      <c r="G116" s="6"/>
      <c r="H116" s="20"/>
      <c r="I116" s="5"/>
      <c r="J116" s="8"/>
    </row>
    <row r="117" spans="2:10" ht="15.75" x14ac:dyDescent="0.25">
      <c r="B117" s="21" t="s">
        <v>12</v>
      </c>
      <c r="E117" s="6">
        <f>E107-E115</f>
        <v>119825</v>
      </c>
      <c r="F117" s="6">
        <f t="shared" ref="F117:H117" si="12">F107-F115</f>
        <v>129298.65</v>
      </c>
      <c r="G117" s="6">
        <f t="shared" si="12"/>
        <v>139467.75050000002</v>
      </c>
      <c r="H117" s="20">
        <f t="shared" si="12"/>
        <v>150382.08778500004</v>
      </c>
      <c r="I117" s="5" t="s">
        <v>95</v>
      </c>
      <c r="J117" s="8"/>
    </row>
    <row r="130" spans="13:13" x14ac:dyDescent="0.25">
      <c r="M130" s="4" t="s">
        <v>78</v>
      </c>
    </row>
  </sheetData>
  <phoneticPr fontId="7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130"/>
  <sheetViews>
    <sheetView tabSelected="1" topLeftCell="A96" zoomScale="85" zoomScaleNormal="85" zoomScaleSheetLayoutView="80" workbookViewId="0">
      <selection activeCell="H117" sqref="H117"/>
    </sheetView>
  </sheetViews>
  <sheetFormatPr defaultColWidth="8.85546875" defaultRowHeight="15" x14ac:dyDescent="0.25"/>
  <cols>
    <col min="1" max="1" width="8.85546875" style="4"/>
    <col min="2" max="2" width="18.42578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9" max="9" width="11.28515625" customWidth="1"/>
  </cols>
  <sheetData>
    <row r="1" spans="1:13" ht="38.25" customHeight="1" x14ac:dyDescent="0.25"/>
    <row r="3" spans="1:13" ht="15.75" x14ac:dyDescent="0.25">
      <c r="A3" s="3" t="s">
        <v>34</v>
      </c>
    </row>
    <row r="5" spans="1:13" ht="21" x14ac:dyDescent="0.35">
      <c r="A5" s="13" t="s">
        <v>36</v>
      </c>
      <c r="B5" s="4" t="s">
        <v>39</v>
      </c>
    </row>
    <row r="6" spans="1:13" x14ac:dyDescent="0.25">
      <c r="C6" t="s">
        <v>104</v>
      </c>
    </row>
    <row r="7" spans="1:13" ht="37.5" customHeight="1" x14ac:dyDescent="0.25">
      <c r="B7" s="11">
        <f>FV(3%,42,,35000)</f>
        <v>-121124.35627361356</v>
      </c>
    </row>
    <row r="8" spans="1:13" x14ac:dyDescent="0.25">
      <c r="C8" t="s">
        <v>14</v>
      </c>
      <c r="D8" t="s">
        <v>102</v>
      </c>
    </row>
    <row r="9" spans="1:13" ht="163.5" customHeight="1" x14ac:dyDescent="0.25"/>
    <row r="11" spans="1:13" ht="21" x14ac:dyDescent="0.35">
      <c r="A11" s="13" t="s">
        <v>37</v>
      </c>
      <c r="B11" s="4" t="s">
        <v>40</v>
      </c>
    </row>
    <row r="12" spans="1:13" x14ac:dyDescent="0.25">
      <c r="B12" t="s">
        <v>38</v>
      </c>
      <c r="C12" t="s">
        <v>105</v>
      </c>
    </row>
    <row r="13" spans="1:13" ht="21" x14ac:dyDescent="0.35">
      <c r="B13" s="12">
        <f>PV(6%,20,121124)</f>
        <v>-1389282.7376774987</v>
      </c>
    </row>
    <row r="14" spans="1:13" ht="15.75" x14ac:dyDescent="0.25">
      <c r="C14" t="s">
        <v>103</v>
      </c>
      <c r="M14" s="3" t="s">
        <v>42</v>
      </c>
    </row>
    <row r="15" spans="1:13" ht="152.25" customHeight="1" x14ac:dyDescent="0.25">
      <c r="B15" s="1"/>
    </row>
    <row r="16" spans="1:13" ht="72" customHeight="1" x14ac:dyDescent="0.25">
      <c r="B16" s="1"/>
      <c r="M16" s="4" t="s">
        <v>78</v>
      </c>
    </row>
    <row r="17" spans="1:13" ht="21" x14ac:dyDescent="0.35">
      <c r="A17" s="13" t="s">
        <v>44</v>
      </c>
      <c r="B17" s="4" t="s">
        <v>45</v>
      </c>
    </row>
    <row r="18" spans="1:13" ht="15.75" x14ac:dyDescent="0.25">
      <c r="C18" t="s">
        <v>46</v>
      </c>
      <c r="I18" s="3" t="s">
        <v>42</v>
      </c>
    </row>
    <row r="19" spans="1:13" ht="21" x14ac:dyDescent="0.35">
      <c r="B19" s="12">
        <f>PMT(6%,42,,1389283)</f>
        <v>-7895.8721236196761</v>
      </c>
    </row>
    <row r="20" spans="1:13" x14ac:dyDescent="0.25">
      <c r="C20" t="s">
        <v>106</v>
      </c>
    </row>
    <row r="21" spans="1:13" ht="255" customHeight="1" x14ac:dyDescent="0.25">
      <c r="B21" s="9"/>
      <c r="C21" s="9"/>
      <c r="D21" s="9"/>
      <c r="E21" s="9"/>
      <c r="F21" s="9"/>
    </row>
    <row r="22" spans="1:13" ht="13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35">
      <c r="A25" s="13" t="s">
        <v>48</v>
      </c>
      <c r="B25" t="s">
        <v>51</v>
      </c>
    </row>
    <row r="26" spans="1:13" ht="15.75" customHeight="1" x14ac:dyDescent="0.25"/>
    <row r="27" spans="1:13" ht="15.75" customHeight="1" x14ac:dyDescent="0.3">
      <c r="F27" s="2" t="s">
        <v>49</v>
      </c>
      <c r="G27" s="2"/>
      <c r="H27" s="2"/>
      <c r="I27" s="14">
        <v>75000</v>
      </c>
    </row>
    <row r="28" spans="1:13" ht="15.75" customHeight="1" x14ac:dyDescent="0.3">
      <c r="F28" s="2"/>
      <c r="G28" s="2"/>
      <c r="H28" s="2"/>
      <c r="I28" s="15" t="s">
        <v>52</v>
      </c>
    </row>
    <row r="29" spans="1:13" ht="15.75" customHeight="1" x14ac:dyDescent="0.3">
      <c r="F29" s="2" t="s">
        <v>50</v>
      </c>
      <c r="G29" s="2"/>
      <c r="H29" s="2"/>
      <c r="I29" s="16">
        <f>75000*70%</f>
        <v>52500</v>
      </c>
    </row>
    <row r="30" spans="1:13" ht="15.75" customHeight="1" x14ac:dyDescent="0.25"/>
    <row r="31" spans="1:13" ht="15.75" customHeight="1" x14ac:dyDescent="0.25"/>
    <row r="32" spans="1:13" ht="33" customHeight="1" x14ac:dyDescent="0.25">
      <c r="M32" s="4" t="s">
        <v>78</v>
      </c>
    </row>
    <row r="33" spans="1:10" ht="21" x14ac:dyDescent="0.35">
      <c r="A33" s="13" t="s">
        <v>53</v>
      </c>
      <c r="C33" t="s">
        <v>54</v>
      </c>
    </row>
    <row r="34" spans="1:10" ht="18.75" x14ac:dyDescent="0.3">
      <c r="B34" s="14">
        <f>PV(7%,23,52500)</f>
        <v>-591789.83749109088</v>
      </c>
    </row>
    <row r="35" spans="1:10" x14ac:dyDescent="0.25">
      <c r="C35" t="s">
        <v>14</v>
      </c>
      <c r="D35" t="s">
        <v>107</v>
      </c>
    </row>
    <row r="36" spans="1:10" ht="170.25" customHeight="1" x14ac:dyDescent="0.25"/>
    <row r="38" spans="1:10" ht="21" x14ac:dyDescent="0.35">
      <c r="A38" s="13" t="s">
        <v>56</v>
      </c>
      <c r="C38" t="s">
        <v>57</v>
      </c>
      <c r="J38" s="3" t="s">
        <v>59</v>
      </c>
    </row>
    <row r="39" spans="1:10" ht="18.75" x14ac:dyDescent="0.3">
      <c r="B39" s="14">
        <f>PMT(7%,30,,591790)</f>
        <v>-6264.9277338404909</v>
      </c>
    </row>
    <row r="40" spans="1:10" x14ac:dyDescent="0.25">
      <c r="C40" t="s">
        <v>14</v>
      </c>
      <c r="D40" t="s">
        <v>108</v>
      </c>
    </row>
    <row r="41" spans="1:10" ht="15.75" x14ac:dyDescent="0.25">
      <c r="I41" s="3"/>
    </row>
    <row r="42" spans="1:10" ht="169.5" customHeight="1" x14ac:dyDescent="0.25"/>
    <row r="44" spans="1:10" ht="21" x14ac:dyDescent="0.35">
      <c r="A44" s="13" t="s">
        <v>60</v>
      </c>
      <c r="B44" t="s">
        <v>62</v>
      </c>
      <c r="I44" s="3"/>
    </row>
    <row r="45" spans="1:10" x14ac:dyDescent="0.25">
      <c r="B45" s="1"/>
    </row>
    <row r="46" spans="1:10" ht="18.75" x14ac:dyDescent="0.3">
      <c r="F46" s="2" t="s">
        <v>61</v>
      </c>
      <c r="G46" s="2"/>
      <c r="H46" s="2"/>
      <c r="I46" s="14">
        <v>6265</v>
      </c>
    </row>
    <row r="47" spans="1:10" ht="18.75" x14ac:dyDescent="0.3">
      <c r="F47" s="2"/>
      <c r="G47" s="2"/>
      <c r="H47" s="2"/>
      <c r="I47" s="18" t="s">
        <v>63</v>
      </c>
    </row>
    <row r="48" spans="1:10" ht="18.75" x14ac:dyDescent="0.3">
      <c r="F48" s="2" t="s">
        <v>50</v>
      </c>
      <c r="G48" s="2"/>
      <c r="H48" s="2"/>
      <c r="I48" s="16">
        <v>4265</v>
      </c>
    </row>
    <row r="52" spans="1:13" x14ac:dyDescent="0.25">
      <c r="M52" s="4" t="s">
        <v>78</v>
      </c>
    </row>
    <row r="53" spans="1:13" ht="21" x14ac:dyDescent="0.35">
      <c r="A53" s="13" t="s">
        <v>64</v>
      </c>
      <c r="C53" t="s">
        <v>109</v>
      </c>
    </row>
    <row r="54" spans="1:13" ht="18.75" x14ac:dyDescent="0.3">
      <c r="B54" s="1"/>
      <c r="C54" s="2" t="s">
        <v>67</v>
      </c>
    </row>
    <row r="56" spans="1:13" x14ac:dyDescent="0.25">
      <c r="C56" t="s">
        <v>54</v>
      </c>
    </row>
    <row r="57" spans="1:13" ht="18.75" x14ac:dyDescent="0.3">
      <c r="A57"/>
      <c r="B57" s="14">
        <f>PV(7%,32,52500)</f>
        <v>-663944.15419168281</v>
      </c>
    </row>
    <row r="58" spans="1:13" x14ac:dyDescent="0.25">
      <c r="A58"/>
      <c r="C58" t="s">
        <v>14</v>
      </c>
      <c r="D58" t="s">
        <v>110</v>
      </c>
    </row>
    <row r="59" spans="1:13" x14ac:dyDescent="0.25">
      <c r="A59"/>
    </row>
    <row r="60" spans="1:13" ht="18.75" x14ac:dyDescent="0.3">
      <c r="A60"/>
      <c r="C60" s="2" t="s">
        <v>68</v>
      </c>
    </row>
    <row r="61" spans="1:13" ht="18.75" x14ac:dyDescent="0.3">
      <c r="A61"/>
      <c r="C61" s="2"/>
    </row>
    <row r="62" spans="1:13" ht="15.75" x14ac:dyDescent="0.25">
      <c r="A62"/>
      <c r="C62" t="s">
        <v>57</v>
      </c>
      <c r="J62" s="3" t="s">
        <v>59</v>
      </c>
    </row>
    <row r="63" spans="1:13" ht="18.75" x14ac:dyDescent="0.3">
      <c r="A63"/>
      <c r="B63" s="14">
        <f>PMT(7%,30,,663944)</f>
        <v>-7028.7790927812102</v>
      </c>
    </row>
    <row r="64" spans="1:13" x14ac:dyDescent="0.25">
      <c r="C64" t="s">
        <v>14</v>
      </c>
      <c r="D64" t="s">
        <v>111</v>
      </c>
    </row>
    <row r="65" spans="1:13" ht="18.75" x14ac:dyDescent="0.3">
      <c r="C65" s="22" t="s">
        <v>112</v>
      </c>
    </row>
    <row r="68" spans="1:13" ht="21" x14ac:dyDescent="0.35">
      <c r="A68" s="13" t="s">
        <v>15</v>
      </c>
      <c r="C68" t="s">
        <v>16</v>
      </c>
      <c r="I68" s="2" t="s">
        <v>17</v>
      </c>
    </row>
    <row r="69" spans="1:13" ht="18.75" x14ac:dyDescent="0.3">
      <c r="B69" s="14">
        <f>PMT(3.5%/12,30*12,450000)</f>
        <v>-2020.7010951397101</v>
      </c>
    </row>
    <row r="70" spans="1:13" x14ac:dyDescent="0.25">
      <c r="C70" t="s">
        <v>14</v>
      </c>
      <c r="D70" t="s">
        <v>113</v>
      </c>
    </row>
    <row r="73" spans="1:13" ht="21" x14ac:dyDescent="0.35">
      <c r="A73" s="13" t="s">
        <v>18</v>
      </c>
      <c r="C73" t="s">
        <v>71</v>
      </c>
    </row>
    <row r="74" spans="1:13" ht="18.75" x14ac:dyDescent="0.3">
      <c r="B74" s="14">
        <f>PV(5%,12,1200,20000)</f>
        <v>-21772.650327289761</v>
      </c>
    </row>
    <row r="75" spans="1:13" x14ac:dyDescent="0.25">
      <c r="C75" t="s">
        <v>20</v>
      </c>
      <c r="D75" t="s">
        <v>114</v>
      </c>
    </row>
    <row r="77" spans="1:13" ht="15.75" x14ac:dyDescent="0.25">
      <c r="K77" s="3"/>
      <c r="L77" s="3"/>
      <c r="M77" s="3"/>
    </row>
    <row r="78" spans="1:13" ht="21" x14ac:dyDescent="0.35">
      <c r="A78" s="13" t="s">
        <v>19</v>
      </c>
      <c r="C78" t="s">
        <v>24</v>
      </c>
      <c r="K78" s="5"/>
      <c r="L78" s="5"/>
      <c r="M78" s="4"/>
    </row>
    <row r="79" spans="1:13" ht="18.75" x14ac:dyDescent="0.3">
      <c r="B79" s="14">
        <f>PV(3.5%/12,15*12,85000*35%/12)</f>
        <v>-346793.5672353417</v>
      </c>
    </row>
    <row r="80" spans="1:13" ht="15.75" x14ac:dyDescent="0.25">
      <c r="C80" t="s">
        <v>20</v>
      </c>
      <c r="D80" t="s">
        <v>115</v>
      </c>
      <c r="H80" s="3" t="s">
        <v>30</v>
      </c>
      <c r="I80" s="3"/>
      <c r="J80" s="3"/>
    </row>
    <row r="81" spans="1:14" ht="15.75" x14ac:dyDescent="0.25">
      <c r="D81" t="s">
        <v>116</v>
      </c>
      <c r="H81" s="3" t="s">
        <v>25</v>
      </c>
      <c r="I81" s="3"/>
      <c r="J81" s="3"/>
    </row>
    <row r="82" spans="1:14" ht="15.75" x14ac:dyDescent="0.25">
      <c r="H82" s="3"/>
      <c r="I82" s="3"/>
      <c r="J82" s="3"/>
    </row>
    <row r="83" spans="1:14" x14ac:dyDescent="0.25">
      <c r="H83" s="5"/>
      <c r="I83" s="5"/>
      <c r="J83" s="5"/>
    </row>
    <row r="84" spans="1:14" ht="21" x14ac:dyDescent="0.35">
      <c r="A84" s="13" t="s">
        <v>22</v>
      </c>
      <c r="C84" t="s">
        <v>26</v>
      </c>
    </row>
    <row r="85" spans="1:14" ht="18.75" x14ac:dyDescent="0.3">
      <c r="B85" s="25">
        <f>NPV(9%,F86:F89)</f>
        <v>778661.63189813716</v>
      </c>
      <c r="K85" s="4"/>
      <c r="L85" s="4"/>
      <c r="M85" s="4"/>
      <c r="N85" s="4"/>
    </row>
    <row r="86" spans="1:14" x14ac:dyDescent="0.25">
      <c r="C86" t="s">
        <v>27</v>
      </c>
      <c r="D86" t="s">
        <v>28</v>
      </c>
      <c r="F86" s="6">
        <v>60000</v>
      </c>
      <c r="H86" t="s">
        <v>119</v>
      </c>
      <c r="K86" s="4"/>
      <c r="L86" s="4"/>
      <c r="M86" s="4"/>
      <c r="N86" s="4"/>
    </row>
    <row r="87" spans="1:14" x14ac:dyDescent="0.25">
      <c r="D87" t="s">
        <v>29</v>
      </c>
      <c r="F87" s="6">
        <v>67000</v>
      </c>
    </row>
    <row r="88" spans="1:14" x14ac:dyDescent="0.25">
      <c r="D88" t="s">
        <v>0</v>
      </c>
      <c r="F88" s="6">
        <v>76000</v>
      </c>
      <c r="H88" s="4" t="s">
        <v>117</v>
      </c>
      <c r="I88" s="4"/>
      <c r="J88" s="4"/>
    </row>
    <row r="89" spans="1:14" x14ac:dyDescent="0.25">
      <c r="D89" t="s">
        <v>1</v>
      </c>
      <c r="F89" s="7">
        <v>859000</v>
      </c>
      <c r="H89" s="4" t="s">
        <v>118</v>
      </c>
      <c r="I89" s="4"/>
      <c r="J89" s="4"/>
    </row>
    <row r="90" spans="1:14" x14ac:dyDescent="0.25">
      <c r="M90" s="4" t="s">
        <v>78</v>
      </c>
    </row>
    <row r="91" spans="1:14" ht="21" x14ac:dyDescent="0.35">
      <c r="A91" s="13" t="s">
        <v>21</v>
      </c>
      <c r="C91" t="s">
        <v>2</v>
      </c>
      <c r="K91" s="4"/>
      <c r="L91" s="4"/>
    </row>
    <row r="92" spans="1:14" ht="18.75" x14ac:dyDescent="0.3">
      <c r="B92" s="24">
        <f>IRR(F93:F97)</f>
        <v>0.10153241291675918</v>
      </c>
      <c r="G92" s="4" t="s">
        <v>120</v>
      </c>
      <c r="K92" s="4"/>
      <c r="L92" s="4"/>
    </row>
    <row r="93" spans="1:14" x14ac:dyDescent="0.25">
      <c r="C93" t="s">
        <v>27</v>
      </c>
      <c r="D93" t="s">
        <v>3</v>
      </c>
      <c r="F93" s="6">
        <v>-750000</v>
      </c>
      <c r="H93" s="4" t="s">
        <v>13</v>
      </c>
    </row>
    <row r="94" spans="1:14" x14ac:dyDescent="0.25">
      <c r="D94" t="s">
        <v>28</v>
      </c>
      <c r="F94" s="6">
        <v>60000</v>
      </c>
    </row>
    <row r="95" spans="1:14" x14ac:dyDescent="0.25">
      <c r="D95" t="s">
        <v>29</v>
      </c>
      <c r="F95" s="6">
        <v>67000</v>
      </c>
      <c r="H95" s="4" t="s">
        <v>4</v>
      </c>
      <c r="I95" s="4"/>
      <c r="J95" s="4"/>
    </row>
    <row r="96" spans="1:14" x14ac:dyDescent="0.25">
      <c r="D96" t="s">
        <v>0</v>
      </c>
      <c r="F96" s="6">
        <v>76000</v>
      </c>
      <c r="H96" s="4" t="s">
        <v>5</v>
      </c>
      <c r="I96" s="4"/>
      <c r="J96" s="4"/>
    </row>
    <row r="97" spans="1:15" x14ac:dyDescent="0.25">
      <c r="D97" t="s">
        <v>1</v>
      </c>
      <c r="F97" s="7">
        <v>859000</v>
      </c>
      <c r="K97" s="8"/>
      <c r="L97" s="8"/>
      <c r="M97" s="8"/>
      <c r="N97" s="8"/>
      <c r="O97" s="8"/>
    </row>
    <row r="98" spans="1:15" x14ac:dyDescent="0.25">
      <c r="K98" s="8"/>
      <c r="L98" s="8"/>
      <c r="M98" s="8"/>
      <c r="N98" s="8"/>
      <c r="O98" s="8"/>
    </row>
    <row r="99" spans="1:15" x14ac:dyDescent="0.25">
      <c r="K99" s="8"/>
      <c r="L99" s="8"/>
      <c r="M99" s="8"/>
      <c r="N99" s="8"/>
      <c r="O99" s="8"/>
    </row>
    <row r="100" spans="1:15" ht="21" x14ac:dyDescent="0.35">
      <c r="A100" s="13" t="s">
        <v>23</v>
      </c>
      <c r="E100" s="15" t="s">
        <v>6</v>
      </c>
      <c r="F100" s="15" t="s">
        <v>7</v>
      </c>
      <c r="G100" s="15" t="s">
        <v>8</v>
      </c>
      <c r="H100" s="15" t="s">
        <v>31</v>
      </c>
      <c r="K100" s="8"/>
      <c r="L100" s="8"/>
      <c r="M100" s="8"/>
      <c r="N100" s="8"/>
      <c r="O100" s="8"/>
    </row>
    <row r="101" spans="1:15" ht="15.75" x14ac:dyDescent="0.25">
      <c r="B101" s="21" t="s">
        <v>9</v>
      </c>
      <c r="E101" s="6"/>
      <c r="F101" s="6"/>
      <c r="G101" s="6"/>
      <c r="H101" s="10"/>
      <c r="J101" s="8"/>
      <c r="K101" s="8"/>
      <c r="L101" s="8"/>
      <c r="M101" s="8"/>
      <c r="N101" s="8"/>
      <c r="O101" s="8"/>
    </row>
    <row r="102" spans="1:15" ht="15.75" x14ac:dyDescent="0.25">
      <c r="B102" s="9" t="s">
        <v>79</v>
      </c>
      <c r="E102" s="6">
        <f>9*850*12</f>
        <v>91800</v>
      </c>
      <c r="F102" s="6">
        <f>E102*1.07</f>
        <v>98226</v>
      </c>
      <c r="G102" s="6">
        <f t="shared" ref="G102:H103" si="0">F102*1.07</f>
        <v>105101.82</v>
      </c>
      <c r="H102" s="20">
        <f t="shared" si="0"/>
        <v>112458.94740000002</v>
      </c>
      <c r="I102" s="5" t="s">
        <v>83</v>
      </c>
      <c r="J102" s="8"/>
      <c r="K102" s="8"/>
      <c r="L102" s="8"/>
      <c r="M102" s="8"/>
      <c r="N102" s="8"/>
      <c r="O102" s="8"/>
    </row>
    <row r="103" spans="1:15" ht="15.75" x14ac:dyDescent="0.25">
      <c r="B103" s="19" t="s">
        <v>80</v>
      </c>
      <c r="E103" s="6">
        <f>5*1100*12</f>
        <v>66000</v>
      </c>
      <c r="F103" s="6">
        <f>E103*1.07</f>
        <v>70620</v>
      </c>
      <c r="G103" s="6">
        <f t="shared" si="0"/>
        <v>75563.400000000009</v>
      </c>
      <c r="H103" s="20">
        <f t="shared" si="0"/>
        <v>80852.838000000018</v>
      </c>
      <c r="I103" s="5" t="s">
        <v>83</v>
      </c>
      <c r="J103" s="8"/>
      <c r="K103" s="8"/>
      <c r="L103" s="8"/>
      <c r="M103" s="8"/>
      <c r="N103" s="8"/>
      <c r="O103" s="8"/>
    </row>
    <row r="104" spans="1:15" ht="15.75" x14ac:dyDescent="0.25">
      <c r="B104" s="19" t="s">
        <v>97</v>
      </c>
      <c r="E104" s="6">
        <v>750</v>
      </c>
      <c r="F104" s="6">
        <f>E104*1.04</f>
        <v>780</v>
      </c>
      <c r="G104" s="6">
        <f t="shared" ref="G104:H104" si="1">F104*1.04</f>
        <v>811.2</v>
      </c>
      <c r="H104" s="20">
        <f t="shared" si="1"/>
        <v>843.64800000000002</v>
      </c>
      <c r="I104" s="5" t="s">
        <v>121</v>
      </c>
      <c r="J104" s="8"/>
      <c r="K104" s="8"/>
      <c r="L104" s="8"/>
      <c r="M104" s="8"/>
      <c r="N104" s="8"/>
      <c r="O104" s="8"/>
    </row>
    <row r="105" spans="1:15" ht="15.75" x14ac:dyDescent="0.25">
      <c r="B105" s="19" t="s">
        <v>82</v>
      </c>
      <c r="E105" s="6">
        <f>E102+E103+E104</f>
        <v>158550</v>
      </c>
      <c r="F105" s="6">
        <f t="shared" ref="F105:H105" si="2">F102+F103+F104</f>
        <v>169626</v>
      </c>
      <c r="G105" s="6">
        <f t="shared" si="2"/>
        <v>181476.42000000004</v>
      </c>
      <c r="H105" s="20">
        <f t="shared" si="2"/>
        <v>194155.43340000004</v>
      </c>
      <c r="I105" s="5" t="s">
        <v>98</v>
      </c>
      <c r="J105" s="8"/>
      <c r="K105" s="8"/>
      <c r="L105" s="8"/>
      <c r="M105" s="8"/>
      <c r="N105" s="8"/>
      <c r="O105" s="8"/>
    </row>
    <row r="106" spans="1:15" ht="15.75" x14ac:dyDescent="0.25">
      <c r="B106" s="19" t="s">
        <v>96</v>
      </c>
      <c r="E106" s="6">
        <f>E105*5%</f>
        <v>7927.5</v>
      </c>
      <c r="F106" s="6">
        <f t="shared" ref="F106:H106" si="3">F105*5%</f>
        <v>8481.3000000000011</v>
      </c>
      <c r="G106" s="6">
        <f t="shared" si="3"/>
        <v>9073.8210000000017</v>
      </c>
      <c r="H106" s="20">
        <f t="shared" si="3"/>
        <v>9707.7716700000019</v>
      </c>
      <c r="I106" s="5" t="s">
        <v>122</v>
      </c>
      <c r="J106" s="8"/>
    </row>
    <row r="107" spans="1:15" ht="15.75" x14ac:dyDescent="0.25">
      <c r="B107" s="21" t="s">
        <v>10</v>
      </c>
      <c r="E107" s="6">
        <f>E105-E106</f>
        <v>150622.5</v>
      </c>
      <c r="F107" s="6">
        <f t="shared" ref="F107:H107" si="4">F105-F106</f>
        <v>161144.70000000001</v>
      </c>
      <c r="G107" s="6">
        <f t="shared" si="4"/>
        <v>172402.59900000005</v>
      </c>
      <c r="H107" s="20">
        <f t="shared" si="4"/>
        <v>184447.66173000005</v>
      </c>
      <c r="I107" s="5" t="s">
        <v>84</v>
      </c>
      <c r="J107" s="8"/>
    </row>
    <row r="108" spans="1:15" ht="15.75" x14ac:dyDescent="0.25">
      <c r="B108" s="9"/>
      <c r="E108" s="6"/>
      <c r="F108" s="6"/>
      <c r="G108" s="6"/>
      <c r="H108" s="20"/>
      <c r="I108" s="5"/>
      <c r="J108" s="8"/>
    </row>
    <row r="109" spans="1:15" ht="15.75" x14ac:dyDescent="0.25">
      <c r="B109" s="21" t="s">
        <v>11</v>
      </c>
      <c r="E109" s="6"/>
      <c r="F109" s="6"/>
      <c r="G109" s="6"/>
      <c r="H109" s="20"/>
      <c r="I109" s="5"/>
      <c r="J109" s="8"/>
    </row>
    <row r="110" spans="1:15" ht="15.75" x14ac:dyDescent="0.25">
      <c r="B110" s="19" t="s">
        <v>85</v>
      </c>
      <c r="E110" s="6">
        <v>10000</v>
      </c>
      <c r="F110" s="6">
        <f>E110*1.02</f>
        <v>10200</v>
      </c>
      <c r="G110" s="6">
        <f t="shared" ref="G110:H110" si="5">F110*1.02</f>
        <v>10404</v>
      </c>
      <c r="H110" s="20">
        <f t="shared" si="5"/>
        <v>10612.08</v>
      </c>
      <c r="I110" s="5" t="s">
        <v>86</v>
      </c>
      <c r="J110" s="8"/>
    </row>
    <row r="111" spans="1:15" ht="15.75" x14ac:dyDescent="0.25">
      <c r="B111" s="19" t="s">
        <v>87</v>
      </c>
      <c r="E111" s="6">
        <v>4000</v>
      </c>
      <c r="F111" s="6">
        <f>E111*1.06</f>
        <v>4240</v>
      </c>
      <c r="G111" s="6">
        <f t="shared" ref="G111:H111" si="6">F111*1.06</f>
        <v>4494.4000000000005</v>
      </c>
      <c r="H111" s="20">
        <f t="shared" si="6"/>
        <v>4764.0640000000012</v>
      </c>
      <c r="I111" s="5" t="s">
        <v>91</v>
      </c>
      <c r="J111" s="8"/>
    </row>
    <row r="112" spans="1:15" ht="15.75" x14ac:dyDescent="0.25">
      <c r="B112" s="19" t="s">
        <v>88</v>
      </c>
      <c r="E112" s="6">
        <v>30000</v>
      </c>
      <c r="F112" s="6">
        <f>E112*1.07</f>
        <v>32100.000000000004</v>
      </c>
      <c r="G112" s="6">
        <f t="shared" ref="G112:H112" si="7">F112*1.07</f>
        <v>34347.000000000007</v>
      </c>
      <c r="H112" s="20">
        <f t="shared" si="7"/>
        <v>36751.290000000008</v>
      </c>
      <c r="I112" s="5" t="s">
        <v>92</v>
      </c>
      <c r="J112" s="8"/>
    </row>
    <row r="113" spans="2:10" ht="15.75" x14ac:dyDescent="0.25">
      <c r="B113" s="19" t="s">
        <v>89</v>
      </c>
      <c r="E113" s="6">
        <v>8000</v>
      </c>
      <c r="F113" s="6">
        <f>E113*1.04</f>
        <v>8320</v>
      </c>
      <c r="G113" s="6">
        <f t="shared" ref="G113:H114" si="8">F113*1.04</f>
        <v>8652.8000000000011</v>
      </c>
      <c r="H113" s="20">
        <f t="shared" si="8"/>
        <v>8998.9120000000021</v>
      </c>
      <c r="I113" s="5" t="s">
        <v>93</v>
      </c>
      <c r="J113" s="8"/>
    </row>
    <row r="114" spans="2:10" ht="15.75" x14ac:dyDescent="0.25">
      <c r="B114" s="19" t="s">
        <v>90</v>
      </c>
      <c r="E114" s="6">
        <v>4000</v>
      </c>
      <c r="F114" s="6">
        <f>E114*1.04</f>
        <v>4160</v>
      </c>
      <c r="G114" s="6">
        <f t="shared" si="8"/>
        <v>4326.4000000000005</v>
      </c>
      <c r="H114" s="20">
        <f t="shared" si="8"/>
        <v>4499.456000000001</v>
      </c>
      <c r="I114" s="5" t="s">
        <v>93</v>
      </c>
      <c r="J114" s="8"/>
    </row>
    <row r="115" spans="2:10" ht="15.75" x14ac:dyDescent="0.25">
      <c r="B115" s="19" t="s">
        <v>81</v>
      </c>
      <c r="E115" s="6">
        <f>SUM(E110:E114)</f>
        <v>56000</v>
      </c>
      <c r="F115" s="6">
        <f t="shared" ref="F115:H115" si="9">SUM(F110:F114)</f>
        <v>59020</v>
      </c>
      <c r="G115" s="6">
        <f t="shared" si="9"/>
        <v>62224.600000000013</v>
      </c>
      <c r="H115" s="20">
        <f t="shared" si="9"/>
        <v>65625.802000000011</v>
      </c>
      <c r="I115" s="5" t="s">
        <v>94</v>
      </c>
      <c r="J115" s="8"/>
    </row>
    <row r="116" spans="2:10" ht="15.75" x14ac:dyDescent="0.25">
      <c r="B116" s="19"/>
      <c r="E116" s="6"/>
      <c r="F116" s="6"/>
      <c r="G116" s="6"/>
      <c r="H116" s="20"/>
      <c r="I116" s="5"/>
      <c r="J116" s="8"/>
    </row>
    <row r="117" spans="2:10" ht="15.75" x14ac:dyDescent="0.25">
      <c r="B117" s="21" t="s">
        <v>12</v>
      </c>
      <c r="E117" s="6">
        <f>E107-E115</f>
        <v>94622.5</v>
      </c>
      <c r="F117" s="6">
        <f t="shared" ref="F117:H117" si="10">F107-F115</f>
        <v>102124.70000000001</v>
      </c>
      <c r="G117" s="6">
        <f t="shared" si="10"/>
        <v>110177.99900000004</v>
      </c>
      <c r="H117" s="20">
        <f t="shared" si="10"/>
        <v>118821.85973000004</v>
      </c>
      <c r="I117" s="5" t="s">
        <v>95</v>
      </c>
      <c r="J117" s="8"/>
    </row>
    <row r="130" spans="13:13" x14ac:dyDescent="0.25">
      <c r="M130" s="4" t="s">
        <v>78</v>
      </c>
    </row>
  </sheetData>
  <pageMargins left="0.25" right="0.25" top="0.75" bottom="0.75" header="0.3" footer="0.3"/>
  <pageSetup scale="8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 Test #1</vt:lpstr>
      <vt:lpstr>Practice Test #2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2012-10-08T01:23:09Z</cp:lastPrinted>
  <dcterms:created xsi:type="dcterms:W3CDTF">2012-09-13T02:25:07Z</dcterms:created>
  <dcterms:modified xsi:type="dcterms:W3CDTF">2013-02-06T00:46:27Z</dcterms:modified>
</cp:coreProperties>
</file>